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<sst xmlns="http://schemas.openxmlformats.org/spreadsheetml/2006/main" count="707" uniqueCount="494">
  <si>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</si>
  <si>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</si>
  <si>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</si>
  <si>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</si>
  <si>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</si>
  <si>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</si>
  <si>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</si>
  <si>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</si>
  <si>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</si>
  <si>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</si>
  <si>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</si>
  <si>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</si>
  <si>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</si>
  <si>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</si>
  <si>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</si>
  <si>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</si>
  <si>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</si>
  <si>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</si>
  <si>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</si>
  <si>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</si>
  <si>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</si>
  <si>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</si>
  <si>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</si>
  <si>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</si>
  <si>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</si>
  <si>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</si>
  <si>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</si>
  <si>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</si>
  <si>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</si>
  <si>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</si>
  <si>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</si>
  <si>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</si>
  <si>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</si>
  <si>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</si>
  <si>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</si>
  <si>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</si>
  <si>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</si>
  <si>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</si>
  <si>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</si>
  <si>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</si>
  <si>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</si>
  <si>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</si>
  <si>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</si>
  <si>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</si>
  <si>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</si>
  <si>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</si>
  <si>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</si>
  <si>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</si>
  <si>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</si>
  <si>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</si>
  <si>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</si>
  <si>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</si>
  <si>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</si>
  <si>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</si>
  <si>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</si>
  <si>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</si>
  <si>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</si>
  <si>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</si>
  <si>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</si>
  <si>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</si>
  <si>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</si>
  <si>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</si>
  <si>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</si>
  <si>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</si>
  <si>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</si>
  <si>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</si>
  <si>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</si>
  <si>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</si>
  <si>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</si>
  <si>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</si>
  <si>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</si>
  <si>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</si>
  <si>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</si>
  <si>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</si>
  <si>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</si>
  <si>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</si>
  <si>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</si>
  <si>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</si>
  <si>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</si>
  <si>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</si>
  <si>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</si>
  <si>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</si>
  <si>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</si>
  <si>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</si>
  <si>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</si>
  <si>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</si>
  <si>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</si>
  <si>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</si>
  <si>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</si>
  <si>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</si>
  <si>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</si>
  <si>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</si>
  <si>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</si>
  <si>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</si>
  <si>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</si>
  <si>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</si>
  <si>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</si>
  <si>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</si>
  <si>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</si>
  <si>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</si>
  <si>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</si>
  <si>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</si>
  <si>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</si>
  <si>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</si>
  <si>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</si>
  <si>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</si>
  <si>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</si>
  <si>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</si>
  <si>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</si>
  <si>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</si>
  <si>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</si>
  <si>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</si>
  <si>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</si>
  <si>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</si>
  <si>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</si>
  <si>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</si>
  <si>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</si>
  <si>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</si>
  <si>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</si>
  <si>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</si>
  <si>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</si>
  <si>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Al 31 de marzo de 2017 y al 31 de Diciembre de 2016 (b)</t>
  </si>
  <si>
    <t>31 de diciembre de 2016 (e)</t>
  </si>
  <si>
    <t>31 de marzo de 2017 (b)</t>
  </si>
  <si>
    <t>Informe Analítico de la Deuda Pública y Otros Pasivos - LDF</t>
  </si>
  <si>
    <t>Del 1 de Enero al 31 de Marzo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</si>
  <si>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</si>
  <si>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</si>
  <si>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</si>
  <si>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</si>
  <si>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</si>
  <si>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</si>
  <si>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</si>
  <si>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</si>
  <si>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</si>
  <si>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</si>
  <si>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</si>
  <si>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</si>
  <si>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</si>
  <si>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</si>
  <si>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</si>
  <si>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</si>
  <si>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</si>
  <si>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</si>
  <si>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</si>
  <si>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</si>
  <si>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</si>
  <si>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</si>
  <si>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</si>
  <si>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</si>
  <si>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</si>
  <si>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</si>
  <si>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</si>
  <si>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</si>
  <si>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</si>
  <si>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</si>
  <si>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</si>
  <si>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D. Deuda Contingente 4</t>
  </si>
  <si>
    <t>E. Deuda Contingente 5</t>
  </si>
  <si>
    <t>F. Deuda Contingente 6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</si>
  <si>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</si>
  <si>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</si>
  <si>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</si>
  <si>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</si>
  <si>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</si>
  <si>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</si>
  <si>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</si>
  <si>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</si>
  <si>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</si>
  <si>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</si>
  <si>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</si>
  <si>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</si>
  <si>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</si>
  <si>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</si>
  <si>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</si>
  <si>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</si>
  <si>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6</t>
  </si>
  <si>
    <t>TIIE + 2.50</t>
  </si>
  <si>
    <t>B. Crédito 2</t>
  </si>
  <si>
    <t>TIIE + 3.00</t>
  </si>
  <si>
    <t>C. Crédito 3</t>
  </si>
  <si>
    <t>D. Crédito 4</t>
  </si>
  <si>
    <t>5</t>
  </si>
  <si>
    <t>E. Crédito 5</t>
  </si>
  <si>
    <t>4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</si>
  <si>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</si>
  <si>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</si>
  <si>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</si>
  <si>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</si>
  <si>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</si>
  <si>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</si>
  <si>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</si>
  <si>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</si>
  <si>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</si>
  <si>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2017</t>
  </si>
  <si>
    <t>Monto pagado de la inversión actualizado al 31 de marzo de 2017</t>
  </si>
  <si>
    <t>Saldo pendiente por pagar de la inversión al 31 de marzo de 2017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</si>
  <si>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</si>
  <si>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</si>
  <si>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</si>
  <si>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</si>
  <si>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</si>
  <si>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</si>
  <si>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</si>
  <si>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</si>
  <si>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</si>
  <si>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</si>
  <si>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</si>
  <si>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</si>
  <si>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</si>
  <si>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</si>
  <si>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</si>
  <si>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</si>
  <si>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</si>
  <si>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</si>
  <si>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</si>
  <si>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</si>
  <si>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</si>
  <si>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</si>
  <si>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</si>
  <si>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</si>
  <si>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</si>
  <si>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</si>
  <si>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</si>
  <si>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</si>
  <si>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</si>
  <si>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</si>
  <si>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</si>
  <si>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</si>
  <si>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</si>
  <si>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</si>
  <si>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</si>
  <si>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</si>
  <si>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</si>
  <si>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</si>
  <si>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</si>
  <si>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</si>
  <si>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</si>
  <si>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</si>
  <si>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</si>
  <si>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</si>
  <si>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</si>
  <si>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</si>
  <si>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</si>
  <si>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</si>
  <si>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</si>
  <si>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</si>
  <si>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</si>
  <si>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</si>
  <si>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</si>
  <si>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</si>
  <si>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</si>
  <si>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</si>
  <si>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</si>
  <si>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</si>
  <si>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</si>
  <si>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</si>
  <si>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</si>
  <si>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</si>
  <si>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</si>
  <si>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</si>
  <si>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</si>
  <si>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</si>
  <si>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</si>
  <si>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</si>
  <si>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</si>
  <si>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</si>
  <si>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</si>
  <si>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</si>
  <si>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</si>
  <si>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</si>
  <si>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</si>
  <si>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</si>
  <si>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</si>
  <si>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</si>
  <si>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</si>
  <si>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</si>
  <si>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</si>
  <si>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</si>
  <si>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</si>
  <si>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</si>
  <si>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</si>
  <si>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</si>
  <si>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</si>
  <si>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</si>
  <si>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</si>
  <si>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</si>
  <si>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</si>
  <si>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</si>
  <si>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</si>
  <si>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</si>
  <si>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</si>
  <si>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</si>
  <si>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</si>
  <si>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</si>
  <si>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</si>
  <si>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</si>
  <si>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</si>
  <si>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</si>
  <si>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</si>
  <si>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</si>
  <si>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</si>
  <si>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</si>
  <si>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</si>
  <si>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</si>
  <si>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</si>
  <si>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</si>
  <si>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</si>
  <si>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</si>
  <si>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</si>
  <si>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</si>
  <si>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</si>
  <si>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</si>
  <si>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</si>
  <si>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</si>
  <si>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</si>
  <si>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</si>
  <si>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</si>
  <si>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</si>
  <si>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</si>
  <si>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</si>
  <si>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</si>
  <si>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</si>
  <si>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</si>
  <si>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</si>
  <si>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</si>
  <si>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</si>
  <si>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</si>
  <si>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</si>
  <si>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</si>
  <si>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</si>
  <si>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</si>
  <si>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</si>
  <si>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</si>
  <si>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</si>
  <si>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</si>
  <si>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</si>
  <si>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</si>
  <si>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</si>
  <si>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</si>
  <si>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</si>
  <si>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</si>
  <si>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</si>
  <si>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</si>
  <si>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</si>
  <si>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</si>
  <si>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</si>
  <si>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</si>
  <si>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</si>
  <si>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</si>
  <si>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</si>
  <si>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</si>
  <si>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</si>
  <si>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</si>
  <si>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</si>
  <si>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</si>
  <si>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</si>
  <si>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</si>
  <si>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</si>
  <si>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</si>
  <si>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</si>
  <si>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</si>
  <si>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</si>
  <si>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</si>
  <si>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</si>
  <si>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</si>
  <si>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</si>
  <si>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</si>
  <si>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</si>
  <si>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</si>
  <si>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</si>
  <si>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</si>
  <si>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</si>
  <si>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</si>
  <si>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</si>
  <si>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</si>
  <si>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</si>
  <si>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</si>
  <si>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</si>
  <si>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</si>
  <si>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</si>
  <si>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</si>
  <si>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</si>
  <si>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</si>
  <si>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</si>
  <si>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</si>
  <si>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</si>
  <si>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</si>
  <si>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</si>
  <si>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</si>
  <si>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</si>
  <si>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</si>
  <si>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</si>
  <si>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</si>
  <si>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</si>
  <si>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</si>
  <si>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</si>
  <si>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</si>
  <si>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</si>
  <si>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</si>
  <si>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</si>
  <si>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</si>
  <si>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</si>
  <si>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</si>
  <si>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</si>
  <si>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</si>
  <si>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</si>
  <si>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</si>
  <si>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</si>
  <si>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</si>
  <si>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</si>
  <si>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</si>
  <si>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</si>
  <si>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</si>
  <si>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</si>
  <si>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</si>
  <si>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</si>
  <si>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</si>
  <si>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</si>
  <si>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</si>
  <si>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</si>
  <si>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</si>
  <si>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</si>
  <si>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</si>
  <si>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</si>
  <si>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</si>
  <si>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</si>
  <si>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</si>
  <si>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</si>
  <si>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</si>
  <si>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</si>
  <si>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Fiscalía General del Estado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</si>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</sst>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4"/>
    </xf>
    <xf numFmtId="164" fontId="46" fillId="0" borderId="13" xfId="0" applyNumberFormat="1" applyFont="1" applyBorder="1" applyAlignment="1">
      <alignment horizontal="left" vertical="center" indent="4"/>
    </xf>
    <xf numFmtId="164" fontId="48" fillId="0" borderId="12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4" fontId="46" fillId="0" borderId="12" xfId="47" applyNumberFormat="1" applyFont="1" applyBorder="1" applyAlignment="1">
      <alignment horizontal="right" vertical="center" wrapText="1"/>
    </xf>
    <xf numFmtId="4" fontId="46" fillId="0" borderId="12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2"/>
    </xf>
    <xf numFmtId="0" fontId="46" fillId="0" borderId="14" xfId="0" applyFont="1" applyBorder="1" applyAlignment="1">
      <alignment horizontal="left" vertical="center" wrapText="1" indent="4"/>
    </xf>
    <xf numFmtId="0" fontId="46" fillId="0" borderId="15" xfId="0" applyFont="1" applyBorder="1" applyAlignment="1">
      <alignment horizontal="left" vertical="center" wrapText="1" indent="2"/>
    </xf>
    <xf numFmtId="164" fontId="47" fillId="0" borderId="16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4" fontId="46" fillId="0" borderId="13" xfId="47" applyNumberFormat="1" applyFont="1" applyBorder="1" applyAlignment="1">
      <alignment horizontal="right" vertical="center" wrapText="1"/>
    </xf>
    <xf numFmtId="4" fontId="46" fillId="0" borderId="13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64" fontId="50" fillId="0" borderId="13" xfId="0" applyNumberFormat="1" applyFont="1" applyBorder="1" applyAlignment="1">
      <alignment horizontal="justify" vertical="center" wrapText="1"/>
    </xf>
    <xf numFmtId="4" fontId="50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left" vertical="center" wrapText="1" indent="2"/>
    </xf>
    <xf numFmtId="4" fontId="49" fillId="0" borderId="12" xfId="0" applyNumberFormat="1" applyFont="1" applyBorder="1" applyAlignment="1">
      <alignment horizontal="right" vertical="center" wrapText="1"/>
    </xf>
    <xf numFmtId="4" fontId="50" fillId="0" borderId="12" xfId="0" applyNumberFormat="1" applyFont="1" applyFill="1" applyBorder="1" applyAlignment="1">
      <alignment horizontal="right" vertical="center" wrapText="1"/>
    </xf>
    <xf numFmtId="4" fontId="50" fillId="33" borderId="12" xfId="47" applyNumberFormat="1" applyFont="1" applyFill="1" applyBorder="1" applyAlignment="1">
      <alignment horizontal="right" vertical="center" wrapText="1"/>
    </xf>
    <xf numFmtId="4" fontId="50" fillId="33" borderId="12" xfId="0" applyNumberFormat="1" applyFont="1" applyFill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33" borderId="19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left" vertical="center" wrapText="1"/>
    </xf>
    <xf numFmtId="168" fontId="50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left" vertical="center" wrapText="1" indent="1"/>
    </xf>
    <xf numFmtId="168" fontId="49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6" fillId="0" borderId="20" xfId="0" applyFont="1" applyBorder="1" applyAlignment="1">
      <alignment vertical="center"/>
    </xf>
    <xf numFmtId="164" fontId="47" fillId="0" borderId="13" xfId="0" applyNumberFormat="1" applyFont="1" applyBorder="1" applyAlignment="1">
      <alignment vertical="center" wrapText="1"/>
    </xf>
    <xf numFmtId="4" fontId="47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horizontal="left" vertical="center" wrapText="1" indent="5"/>
    </xf>
    <xf numFmtId="4" fontId="46" fillId="0" borderId="12" xfId="0" applyNumberFormat="1" applyFont="1" applyBorder="1" applyAlignment="1">
      <alignment vertical="center" wrapText="1"/>
    </xf>
    <xf numFmtId="43" fontId="46" fillId="0" borderId="0" xfId="47" applyFont="1" applyAlignment="1">
      <alignment/>
    </xf>
    <xf numFmtId="4" fontId="47" fillId="0" borderId="12" xfId="47" applyNumberFormat="1" applyFont="1" applyBorder="1" applyAlignment="1">
      <alignment vertical="center" wrapText="1"/>
    </xf>
    <xf numFmtId="4" fontId="46" fillId="0" borderId="12" xfId="47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4" fontId="46" fillId="33" borderId="12" xfId="0" applyNumberFormat="1" applyFont="1" applyFill="1" applyBorder="1" applyAlignment="1">
      <alignment vertical="center" wrapText="1"/>
    </xf>
    <xf numFmtId="4" fontId="47" fillId="0" borderId="13" xfId="47" applyNumberFormat="1" applyFont="1" applyBorder="1" applyAlignment="1">
      <alignment vertical="center" wrapText="1"/>
    </xf>
    <xf numFmtId="4" fontId="46" fillId="0" borderId="13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7" fillId="33" borderId="21" xfId="0" applyNumberFormat="1" applyFont="1" applyFill="1" applyBorder="1" applyAlignment="1">
      <alignment vertical="center"/>
    </xf>
    <xf numFmtId="164" fontId="47" fillId="33" borderId="22" xfId="0" applyNumberFormat="1" applyFont="1" applyFill="1" applyBorder="1" applyAlignment="1">
      <alignment horizontal="center" vertical="center" wrapText="1"/>
    </xf>
    <xf numFmtId="164" fontId="46" fillId="0" borderId="16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7" fillId="33" borderId="19" xfId="0" applyNumberFormat="1" applyFont="1" applyFill="1" applyBorder="1" applyAlignment="1">
      <alignment horizontal="center"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6" fillId="0" borderId="16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horizontal="left" vertical="center" indent="5"/>
    </xf>
    <xf numFmtId="4" fontId="46" fillId="0" borderId="12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horizontal="justify" vertical="center"/>
    </xf>
    <xf numFmtId="164" fontId="46" fillId="0" borderId="13" xfId="0" applyNumberFormat="1" applyFont="1" applyBorder="1" applyAlignment="1">
      <alignment horizontal="left" vertical="center" indent="1"/>
    </xf>
    <xf numFmtId="4" fontId="46" fillId="0" borderId="12" xfId="47" applyNumberFormat="1" applyFont="1" applyBorder="1" applyAlignment="1">
      <alignment vertical="center"/>
    </xf>
    <xf numFmtId="4" fontId="46" fillId="34" borderId="12" xfId="0" applyNumberFormat="1" applyFont="1" applyFill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7" applyNumberFormat="1" applyFont="1" applyBorder="1" applyAlignment="1">
      <alignment vertical="center"/>
    </xf>
    <xf numFmtId="4" fontId="47" fillId="0" borderId="13" xfId="47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wrapText="1" indent="1"/>
    </xf>
    <xf numFmtId="164" fontId="46" fillId="0" borderId="13" xfId="0" applyNumberFormat="1" applyFont="1" applyBorder="1" applyAlignment="1">
      <alignment horizontal="left" vertical="center" wrapText="1" indent="1"/>
    </xf>
    <xf numFmtId="0" fontId="46" fillId="0" borderId="0" xfId="0" applyFont="1" applyAlignment="1">
      <alignment horizontal="right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64" fontId="46" fillId="0" borderId="12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right" vertical="center"/>
    </xf>
    <xf numFmtId="4" fontId="46" fillId="0" borderId="0" xfId="0" applyNumberFormat="1" applyFont="1" applyAlignment="1">
      <alignment/>
    </xf>
    <xf numFmtId="164" fontId="46" fillId="0" borderId="13" xfId="0" applyNumberFormat="1" applyFont="1" applyBorder="1" applyAlignment="1">
      <alignment horizontal="left" vertical="center" indent="3"/>
    </xf>
    <xf numFmtId="164" fontId="46" fillId="0" borderId="13" xfId="0" applyNumberFormat="1" applyFont="1" applyBorder="1" applyAlignment="1">
      <alignment horizontal="left" vertical="center" wrapText="1" indent="3"/>
    </xf>
    <xf numFmtId="164" fontId="46" fillId="0" borderId="13" xfId="0" applyNumberFormat="1" applyFont="1" applyBorder="1" applyAlignment="1">
      <alignment horizontal="left" vertical="center"/>
    </xf>
    <xf numFmtId="4" fontId="46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6" fillId="0" borderId="13" xfId="0" applyNumberFormat="1" applyFont="1" applyBorder="1" applyAlignment="1">
      <alignment horizontal="right" vertical="center"/>
    </xf>
    <xf numFmtId="4" fontId="46" fillId="33" borderId="12" xfId="0" applyNumberFormat="1" applyFont="1" applyFill="1" applyBorder="1" applyAlignment="1">
      <alignment horizontal="right" vertical="center"/>
    </xf>
    <xf numFmtId="4" fontId="46" fillId="33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horizontal="left" vertical="center" indent="1"/>
    </xf>
    <xf numFmtId="4" fontId="46" fillId="0" borderId="10" xfId="0" applyNumberFormat="1" applyFont="1" applyBorder="1" applyAlignment="1">
      <alignment horizontal="right" vertical="center"/>
    </xf>
    <xf numFmtId="4" fontId="46" fillId="0" borderId="11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justify" vertical="center"/>
    </xf>
    <xf numFmtId="4" fontId="46" fillId="0" borderId="0" xfId="0" applyNumberFormat="1" applyFont="1" applyAlignment="1">
      <alignment horizontal="right"/>
    </xf>
    <xf numFmtId="0" fontId="47" fillId="33" borderId="11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4" fontId="47" fillId="0" borderId="13" xfId="47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 indent="3"/>
    </xf>
    <xf numFmtId="0" fontId="46" fillId="0" borderId="12" xfId="0" applyFont="1" applyBorder="1" applyAlignment="1">
      <alignment/>
    </xf>
    <xf numFmtId="4" fontId="46" fillId="0" borderId="13" xfId="47" applyNumberFormat="1" applyFont="1" applyBorder="1" applyAlignment="1">
      <alignment horizontal="right" vertical="center"/>
    </xf>
    <xf numFmtId="4" fontId="46" fillId="0" borderId="12" xfId="47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4" fontId="46" fillId="0" borderId="25" xfId="0" applyNumberFormat="1" applyFont="1" applyBorder="1" applyAlignment="1">
      <alignment horizontal="right" vertical="center"/>
    </xf>
    <xf numFmtId="4" fontId="46" fillId="0" borderId="24" xfId="0" applyNumberFormat="1" applyFont="1" applyBorder="1" applyAlignment="1">
      <alignment horizontal="right" vertical="center"/>
    </xf>
    <xf numFmtId="0" fontId="47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4" fontId="47" fillId="0" borderId="28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4" fontId="47" fillId="0" borderId="13" xfId="0" applyNumberFormat="1" applyFont="1" applyBorder="1" applyAlignment="1">
      <alignment horizontal="right" vertical="center"/>
    </xf>
    <xf numFmtId="0" fontId="46" fillId="0" borderId="15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justify" vertical="center" wrapText="1"/>
    </xf>
    <xf numFmtId="4" fontId="47" fillId="0" borderId="16" xfId="47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left" vertical="center" wrapText="1" indent="1"/>
    </xf>
    <xf numFmtId="4" fontId="47" fillId="0" borderId="13" xfId="47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/>
    </xf>
    <xf numFmtId="4" fontId="47" fillId="0" borderId="12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left" vertical="center" wrapText="1" indent="3"/>
    </xf>
    <xf numFmtId="0" fontId="46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4" fontId="47" fillId="0" borderId="12" xfId="47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indent="2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indent="2"/>
    </xf>
    <xf numFmtId="4" fontId="46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64" fontId="46" fillId="0" borderId="11" xfId="0" applyNumberFormat="1" applyFont="1" applyBorder="1" applyAlignment="1">
      <alignment vertical="center"/>
    </xf>
    <xf numFmtId="0" fontId="47" fillId="0" borderId="14" xfId="0" applyFont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4" fontId="47" fillId="0" borderId="13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/>
    </xf>
    <xf numFmtId="0" fontId="47" fillId="0" borderId="15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164" fontId="52" fillId="0" borderId="29" xfId="0" applyNumberFormat="1" applyFont="1" applyBorder="1" applyAlignment="1">
      <alignment horizontal="left" vertical="top" wrapText="1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47" fillId="33" borderId="18" xfId="0" applyNumberFormat="1" applyFont="1" applyFill="1" applyBorder="1" applyAlignment="1">
      <alignment vertical="center"/>
    </xf>
    <xf numFmtId="164" fontId="47" fillId="33" borderId="15" xfId="0" applyNumberFormat="1" applyFont="1" applyFill="1" applyBorder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6" fillId="0" borderId="30" xfId="0" applyNumberFormat="1" applyFont="1" applyBorder="1" applyAlignment="1">
      <alignment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bestFit="1" customWidth="1"/>
    <col min="4" max="4" width="15.00390625" style="2" customWidth="1"/>
    <col min="5" max="5" width="59.4218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0" t="s">
        <v>120</v>
      </c>
      <c r="C2" s="201"/>
      <c r="D2" s="201"/>
      <c r="E2" s="201"/>
      <c r="F2" s="201"/>
      <c r="G2" s="202"/>
    </row>
    <row r="3" spans="2:7" ht="12.75">
      <c r="B3" s="203" t="s">
        <v>0</v>
      </c>
      <c r="C3" s="204"/>
      <c r="D3" s="204"/>
      <c r="E3" s="204"/>
      <c r="F3" s="204"/>
      <c r="G3" s="205"/>
    </row>
    <row r="4" spans="2:7" ht="12.75">
      <c r="B4" s="203" t="s">
        <v>121</v>
      </c>
      <c r="C4" s="204"/>
      <c r="D4" s="204"/>
      <c r="E4" s="204"/>
      <c r="F4" s="204"/>
      <c r="G4" s="205"/>
    </row>
    <row r="5" spans="2:7" ht="13.5" thickBot="1">
      <c r="B5" s="206" t="s">
        <v>1</v>
      </c>
      <c r="C5" s="207"/>
      <c r="D5" s="207"/>
      <c r="E5" s="207"/>
      <c r="F5" s="207"/>
      <c r="G5" s="208"/>
    </row>
    <row r="6" spans="2:7" ht="26.25" thickBot="1">
      <c r="B6" s="3" t="s">
        <v>2</v>
      </c>
      <c r="C6" s="4" t="s">
        <v>123</v>
      </c>
      <c r="D6" s="4" t="s">
        <v>122</v>
      </c>
      <c r="E6" s="5" t="s">
        <v>2</v>
      </c>
      <c r="F6" s="27" t="s">
        <v>123</v>
      </c>
      <c r="G6" s="4" t="s">
        <v>122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1378907698.87</v>
      </c>
      <c r="D9" s="24">
        <f>SUM(D10:D16)</f>
        <v>429266809.04999995</v>
      </c>
      <c r="E9" s="9" t="s">
        <v>8</v>
      </c>
      <c r="F9" s="25">
        <f>SUM(F10:F18)</f>
        <v>3112287715.0299997</v>
      </c>
      <c r="G9" s="25">
        <f>SUM(G10:G18)</f>
        <v>3106663547.66</v>
      </c>
    </row>
    <row r="10" spans="2:7" ht="12.75">
      <c r="B10" s="20" t="s">
        <v>9</v>
      </c>
      <c r="C10" s="25">
        <v>7787601.87</v>
      </c>
      <c r="D10" s="17">
        <v>6444801.52</v>
      </c>
      <c r="E10" s="10" t="s">
        <v>10</v>
      </c>
      <c r="F10" s="25">
        <v>489106102.91</v>
      </c>
      <c r="G10" s="17">
        <v>423663962.68</v>
      </c>
    </row>
    <row r="11" spans="2:7" ht="12.75">
      <c r="B11" s="20" t="s">
        <v>11</v>
      </c>
      <c r="C11" s="24">
        <v>1368248765.52</v>
      </c>
      <c r="D11" s="16">
        <v>419950167.07</v>
      </c>
      <c r="E11" s="10" t="s">
        <v>12</v>
      </c>
      <c r="F11" s="25">
        <v>156885332.35</v>
      </c>
      <c r="G11" s="17">
        <v>159018933.57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58706908.32</v>
      </c>
      <c r="G12" s="17">
        <v>57023088.42</v>
      </c>
    </row>
    <row r="13" spans="2:7" ht="12.75">
      <c r="B13" s="20" t="s">
        <v>15</v>
      </c>
      <c r="C13" s="25">
        <v>1560530.92</v>
      </c>
      <c r="D13" s="17">
        <v>1561039.9</v>
      </c>
      <c r="E13" s="10" t="s">
        <v>16</v>
      </c>
      <c r="F13" s="25">
        <v>31070097.65</v>
      </c>
      <c r="G13" s="17">
        <v>25640357.77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286891276.33</v>
      </c>
      <c r="G14" s="17">
        <v>258712112.33</v>
      </c>
    </row>
    <row r="15" spans="2:7" ht="25.5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774736376.03</v>
      </c>
      <c r="G16" s="17">
        <v>1015020296.08</v>
      </c>
    </row>
    <row r="17" spans="2:7" ht="12.75">
      <c r="B17" s="18" t="s">
        <v>23</v>
      </c>
      <c r="C17" s="24">
        <f>SUM(C18:C24)</f>
        <v>654405837.04</v>
      </c>
      <c r="D17" s="24">
        <f>SUM(D18:D24)</f>
        <v>682412510.93</v>
      </c>
      <c r="E17" s="10" t="s">
        <v>24</v>
      </c>
      <c r="F17" s="25">
        <v>787366.31</v>
      </c>
      <c r="G17" s="17">
        <v>0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1314104255.13</v>
      </c>
      <c r="G18" s="17">
        <v>1167584796.81</v>
      </c>
    </row>
    <row r="19" spans="2:7" ht="12.75">
      <c r="B19" s="20" t="s">
        <v>27</v>
      </c>
      <c r="C19" s="25">
        <v>0</v>
      </c>
      <c r="D19" s="17">
        <v>0</v>
      </c>
      <c r="E19" s="9" t="s">
        <v>28</v>
      </c>
      <c r="F19" s="25">
        <f>SUM(F20:F22)</f>
        <v>0</v>
      </c>
      <c r="G19" s="25">
        <f>SUM(G20:G22)</f>
        <v>0</v>
      </c>
    </row>
    <row r="20" spans="2:7" ht="12.75">
      <c r="B20" s="20" t="s">
        <v>29</v>
      </c>
      <c r="C20" s="25">
        <v>444592234.83</v>
      </c>
      <c r="D20" s="17">
        <v>497099963.95</v>
      </c>
      <c r="E20" s="10" t="s">
        <v>30</v>
      </c>
      <c r="F20" s="25">
        <v>0</v>
      </c>
      <c r="G20" s="17">
        <v>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56436101.56</v>
      </c>
      <c r="G23" s="25">
        <f>SUM(G24:G25)</f>
        <v>0</v>
      </c>
    </row>
    <row r="24" spans="2:7" ht="12.75">
      <c r="B24" s="20" t="s">
        <v>37</v>
      </c>
      <c r="C24" s="24">
        <v>209813602.21</v>
      </c>
      <c r="D24" s="16">
        <v>185312546.98</v>
      </c>
      <c r="E24" s="10" t="s">
        <v>38</v>
      </c>
      <c r="F24" s="25">
        <v>56436101.56</v>
      </c>
      <c r="G24" s="17">
        <v>0</v>
      </c>
    </row>
    <row r="25" spans="2:7" ht="12.75">
      <c r="B25" s="18" t="s">
        <v>39</v>
      </c>
      <c r="C25" s="25">
        <f>SUM(C26:C30)</f>
        <v>225344808.02</v>
      </c>
      <c r="D25" s="17">
        <v>91102268.58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17788295.81</v>
      </c>
      <c r="D26" s="17">
        <v>24784742.97</v>
      </c>
      <c r="E26" s="9" t="s">
        <v>42</v>
      </c>
      <c r="F26" s="25">
        <v>0</v>
      </c>
      <c r="G26" s="17">
        <v>0</v>
      </c>
    </row>
    <row r="27" spans="2:7" ht="25.5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25">
        <f>SUM(G28:G30)</f>
        <v>0</v>
      </c>
    </row>
    <row r="28" spans="2:7" ht="25.5">
      <c r="B28" s="20" t="s">
        <v>45</v>
      </c>
      <c r="C28" s="25">
        <v>0</v>
      </c>
      <c r="D28" s="17">
        <v>0</v>
      </c>
      <c r="E28" s="10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207556512.21</v>
      </c>
      <c r="D29" s="17">
        <v>66317525.61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8652787.37</v>
      </c>
      <c r="G31" s="25">
        <f>SUM(G32:G37)</f>
        <v>8348187.37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8652787.37</v>
      </c>
      <c r="G32" s="17">
        <v>8348187.37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5.5">
      <c r="B35" s="20" t="s">
        <v>59</v>
      </c>
      <c r="C35" s="25">
        <v>0</v>
      </c>
      <c r="D35" s="17">
        <v>0</v>
      </c>
      <c r="E35" s="10" t="s">
        <v>60</v>
      </c>
      <c r="F35" s="25">
        <v>0</v>
      </c>
      <c r="G35" s="17">
        <v>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51129632.68</v>
      </c>
      <c r="D41" s="25">
        <f>SUM(D42:D45)</f>
        <v>62353601.74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51129632.68</v>
      </c>
      <c r="D42" s="17">
        <v>62353601.74</v>
      </c>
      <c r="E42" s="9" t="s">
        <v>74</v>
      </c>
      <c r="F42" s="25">
        <f>SUM(F43:F45)</f>
        <v>78756793.39</v>
      </c>
      <c r="G42" s="25">
        <f>SUM(G43:G45)</f>
        <v>78644078.79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5.5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78756793.39</v>
      </c>
      <c r="G45" s="17">
        <v>78644078.79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2309787976.6099997</v>
      </c>
      <c r="D47" s="24">
        <f>D9+D17+D25+D31+D37+D38+D41</f>
        <v>1265135190.3</v>
      </c>
      <c r="E47" s="7" t="s">
        <v>82</v>
      </c>
      <c r="F47" s="25">
        <f>F9+F19+F23+F26+F27+F31+F38+F42</f>
        <v>3256133397.3499994</v>
      </c>
      <c r="G47" s="25">
        <f>G9+G19+G23+G26+G27+G31+G38+G42</f>
        <v>3193655813.8199997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336243605.39</v>
      </c>
      <c r="D50" s="17">
        <v>285288344.31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3954102185.95</v>
      </c>
      <c r="D52" s="17">
        <v>3858285478.08</v>
      </c>
      <c r="E52" s="9" t="s">
        <v>90</v>
      </c>
      <c r="F52" s="25">
        <v>4721062819.66</v>
      </c>
      <c r="G52" s="17">
        <v>4798348556.04</v>
      </c>
    </row>
    <row r="53" spans="2:7" ht="12.75">
      <c r="B53" s="18" t="s">
        <v>91</v>
      </c>
      <c r="C53" s="25">
        <v>623916324.44</v>
      </c>
      <c r="D53" s="17">
        <v>618110667.11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1254780.16</v>
      </c>
      <c r="D54" s="17">
        <v>1196780.16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-270143570.25</v>
      </c>
      <c r="D55" s="17">
        <v>-270143570.25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4721062819.66</v>
      </c>
      <c r="G57" s="25">
        <f>SUM(G50:G55)</f>
        <v>4798348556.04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7977196217.009999</v>
      </c>
      <c r="G59" s="25">
        <f>G47+G57</f>
        <v>7992004369.86</v>
      </c>
    </row>
    <row r="60" spans="2:7" ht="25.5">
      <c r="B60" s="19" t="s">
        <v>102</v>
      </c>
      <c r="C60" s="25">
        <f>SUM(C50:C58)</f>
        <v>4645373325.69</v>
      </c>
      <c r="D60" s="25">
        <f>SUM(D50:D58)</f>
        <v>4492737699.41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6955161302.299999</v>
      </c>
      <c r="D62" s="24">
        <f>D47+D60</f>
        <v>5757872889.71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-1022034914.7100003</v>
      </c>
      <c r="G68" s="24">
        <f>SUM(G69:G73)</f>
        <v>-2234131480.15</v>
      </c>
    </row>
    <row r="69" spans="2:7" ht="12.75">
      <c r="B69" s="18"/>
      <c r="C69" s="23"/>
      <c r="D69" s="8"/>
      <c r="E69" s="9" t="s">
        <v>110</v>
      </c>
      <c r="F69" s="24">
        <v>1235830741.11</v>
      </c>
      <c r="G69" s="16">
        <v>810535557.79</v>
      </c>
    </row>
    <row r="70" spans="2:7" ht="12.75">
      <c r="B70" s="18"/>
      <c r="C70" s="23"/>
      <c r="D70" s="8"/>
      <c r="E70" s="9" t="s">
        <v>111</v>
      </c>
      <c r="F70" s="25">
        <v>-3096517161.36</v>
      </c>
      <c r="G70" s="17">
        <v>-3883318543.48</v>
      </c>
    </row>
    <row r="71" spans="2:7" ht="12.75">
      <c r="B71" s="18"/>
      <c r="C71" s="23"/>
      <c r="D71" s="8"/>
      <c r="E71" s="9" t="s">
        <v>112</v>
      </c>
      <c r="F71" s="25">
        <v>838651505.54</v>
      </c>
      <c r="G71" s="17">
        <v>838651505.54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0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25">
        <f>SUM(G76:G77)</f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-1022034914.7100003</v>
      </c>
      <c r="G79" s="24">
        <f>G63+G68+G75</f>
        <v>-2234131480.15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6955161302.299999</v>
      </c>
      <c r="G81" s="24">
        <f>G59+G79</f>
        <v>5757872889.709999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  <ignoredErrors>
    <ignoredError sqref="F23:G23 D17 C31:D31 G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34" customWidth="1"/>
    <col min="2" max="2" width="43.00390625" style="34" customWidth="1"/>
    <col min="3" max="3" width="15.421875" style="34" bestFit="1" customWidth="1"/>
    <col min="4" max="4" width="15.28125" style="34" customWidth="1"/>
    <col min="5" max="5" width="16.421875" style="34" customWidth="1"/>
    <col min="6" max="6" width="16.57421875" style="34" customWidth="1"/>
    <col min="7" max="7" width="15.421875" style="34" bestFit="1" customWidth="1"/>
    <col min="8" max="8" width="14.00390625" style="34" customWidth="1"/>
    <col min="9" max="9" width="15.00390625" style="34" customWidth="1"/>
    <col min="10" max="16384" width="11.421875" style="34" customWidth="1"/>
  </cols>
  <sheetData>
    <row r="1" ht="13.5" thickBot="1"/>
    <row r="2" spans="2:9" ht="13.5" thickBot="1">
      <c r="B2" s="209" t="s">
        <v>120</v>
      </c>
      <c r="C2" s="210"/>
      <c r="D2" s="210"/>
      <c r="E2" s="210"/>
      <c r="F2" s="210"/>
      <c r="G2" s="210"/>
      <c r="H2" s="210"/>
      <c r="I2" s="211"/>
    </row>
    <row r="3" spans="2:9" ht="13.5" thickBot="1">
      <c r="B3" s="212" t="s">
        <v>124</v>
      </c>
      <c r="C3" s="213"/>
      <c r="D3" s="213"/>
      <c r="E3" s="213"/>
      <c r="F3" s="213"/>
      <c r="G3" s="213"/>
      <c r="H3" s="213"/>
      <c r="I3" s="214"/>
    </row>
    <row r="4" spans="2:9" ht="13.5" thickBot="1">
      <c r="B4" s="212" t="s">
        <v>125</v>
      </c>
      <c r="C4" s="213"/>
      <c r="D4" s="213"/>
      <c r="E4" s="213"/>
      <c r="F4" s="213"/>
      <c r="G4" s="213"/>
      <c r="H4" s="213"/>
      <c r="I4" s="214"/>
    </row>
    <row r="5" spans="2:9" ht="13.5" thickBot="1">
      <c r="B5" s="212" t="s">
        <v>1</v>
      </c>
      <c r="C5" s="213"/>
      <c r="D5" s="213"/>
      <c r="E5" s="213"/>
      <c r="F5" s="213"/>
      <c r="G5" s="213"/>
      <c r="H5" s="213"/>
      <c r="I5" s="214"/>
    </row>
    <row r="6" spans="2:9" ht="76.5">
      <c r="B6" s="35" t="s">
        <v>126</v>
      </c>
      <c r="C6" s="35" t="s">
        <v>127</v>
      </c>
      <c r="D6" s="35" t="s">
        <v>128</v>
      </c>
      <c r="E6" s="35" t="s">
        <v>129</v>
      </c>
      <c r="F6" s="35" t="s">
        <v>130</v>
      </c>
      <c r="G6" s="35" t="s">
        <v>131</v>
      </c>
      <c r="H6" s="35" t="s">
        <v>132</v>
      </c>
      <c r="I6" s="35" t="s">
        <v>133</v>
      </c>
    </row>
    <row r="7" spans="2:9" ht="13.5" thickBot="1">
      <c r="B7" s="36" t="s">
        <v>134</v>
      </c>
      <c r="C7" s="36" t="s">
        <v>135</v>
      </c>
      <c r="D7" s="36" t="s">
        <v>136</v>
      </c>
      <c r="E7" s="36" t="s">
        <v>137</v>
      </c>
      <c r="F7" s="36" t="s">
        <v>138</v>
      </c>
      <c r="G7" s="36" t="s">
        <v>139</v>
      </c>
      <c r="H7" s="36" t="s">
        <v>140</v>
      </c>
      <c r="I7" s="36" t="s">
        <v>141</v>
      </c>
    </row>
    <row r="8" spans="2:9" ht="12.75" customHeight="1">
      <c r="B8" s="37" t="s">
        <v>142</v>
      </c>
      <c r="C8" s="38">
        <f aca="true" t="shared" si="0" ref="C8:I8">C9+C13</f>
        <v>5500288036.04</v>
      </c>
      <c r="D8" s="38">
        <f t="shared" si="0"/>
        <v>137346647</v>
      </c>
      <c r="E8" s="38">
        <f t="shared" si="0"/>
        <v>372655476.37</v>
      </c>
      <c r="F8" s="38">
        <f t="shared" si="0"/>
        <v>0</v>
      </c>
      <c r="G8" s="38">
        <f t="shared" si="0"/>
        <v>5264979206.67</v>
      </c>
      <c r="H8" s="38">
        <f t="shared" si="0"/>
        <v>115122634.16000001</v>
      </c>
      <c r="I8" s="38">
        <f t="shared" si="0"/>
        <v>4779663.32</v>
      </c>
    </row>
    <row r="9" spans="2:9" ht="12.75" customHeight="1">
      <c r="B9" s="37" t="s">
        <v>143</v>
      </c>
      <c r="C9" s="38">
        <f aca="true" t="shared" si="1" ref="C9:I9">SUM(C10:C12)</f>
        <v>701939480</v>
      </c>
      <c r="D9" s="38">
        <f t="shared" si="1"/>
        <v>137346647</v>
      </c>
      <c r="E9" s="38">
        <f t="shared" si="1"/>
        <v>295369739.99</v>
      </c>
      <c r="F9" s="38">
        <f t="shared" si="1"/>
        <v>0</v>
      </c>
      <c r="G9" s="38">
        <f t="shared" si="1"/>
        <v>543916387.01</v>
      </c>
      <c r="H9" s="38">
        <f t="shared" si="1"/>
        <v>16146888.48</v>
      </c>
      <c r="I9" s="38">
        <f t="shared" si="1"/>
        <v>4779663.32</v>
      </c>
    </row>
    <row r="10" spans="2:9" ht="12.75">
      <c r="B10" s="39" t="s">
        <v>144</v>
      </c>
      <c r="C10" s="40">
        <v>701939480</v>
      </c>
      <c r="D10" s="40">
        <v>137346647</v>
      </c>
      <c r="E10" s="40">
        <v>295369739.99</v>
      </c>
      <c r="F10" s="40">
        <v>0</v>
      </c>
      <c r="G10" s="40">
        <f>+C10+D10-E10+F10</f>
        <v>543916387.01</v>
      </c>
      <c r="H10" s="40">
        <v>16146888.48</v>
      </c>
      <c r="I10" s="40">
        <v>4779663.32</v>
      </c>
    </row>
    <row r="11" spans="2:9" ht="12.75">
      <c r="B11" s="39" t="s">
        <v>145</v>
      </c>
      <c r="C11" s="40">
        <v>0</v>
      </c>
      <c r="D11" s="40">
        <v>0</v>
      </c>
      <c r="E11" s="40">
        <v>0</v>
      </c>
      <c r="F11" s="40">
        <v>0</v>
      </c>
      <c r="G11" s="40">
        <f aca="true" t="shared" si="2" ref="G11:G16">+C11+D11-E11+F11</f>
        <v>0</v>
      </c>
      <c r="H11" s="40">
        <v>0</v>
      </c>
      <c r="I11" s="40">
        <v>0</v>
      </c>
    </row>
    <row r="12" spans="2:9" ht="12.75">
      <c r="B12" s="39" t="s">
        <v>146</v>
      </c>
      <c r="C12" s="40">
        <v>0</v>
      </c>
      <c r="D12" s="40">
        <v>0</v>
      </c>
      <c r="E12" s="40">
        <v>0</v>
      </c>
      <c r="F12" s="40">
        <v>0</v>
      </c>
      <c r="G12" s="40">
        <f t="shared" si="2"/>
        <v>0</v>
      </c>
      <c r="H12" s="40">
        <v>0</v>
      </c>
      <c r="I12" s="40">
        <v>0</v>
      </c>
    </row>
    <row r="13" spans="2:9" ht="12.75" customHeight="1">
      <c r="B13" s="37" t="s">
        <v>147</v>
      </c>
      <c r="C13" s="38">
        <f aca="true" t="shared" si="3" ref="C13:I13">SUM(C14:C16)</f>
        <v>4798348556.04</v>
      </c>
      <c r="D13" s="38">
        <f t="shared" si="3"/>
        <v>0</v>
      </c>
      <c r="E13" s="38">
        <f t="shared" si="3"/>
        <v>77285736.38</v>
      </c>
      <c r="F13" s="38">
        <f t="shared" si="3"/>
        <v>0</v>
      </c>
      <c r="G13" s="38">
        <f t="shared" si="3"/>
        <v>4721062819.66</v>
      </c>
      <c r="H13" s="38">
        <f t="shared" si="3"/>
        <v>98975745.68</v>
      </c>
      <c r="I13" s="38">
        <f t="shared" si="3"/>
        <v>0</v>
      </c>
    </row>
    <row r="14" spans="2:9" ht="12.75">
      <c r="B14" s="39" t="s">
        <v>148</v>
      </c>
      <c r="C14" s="40">
        <v>4798348556.04</v>
      </c>
      <c r="D14" s="40">
        <v>0</v>
      </c>
      <c r="E14" s="40">
        <v>77285736.38</v>
      </c>
      <c r="F14" s="40">
        <v>0</v>
      </c>
      <c r="G14" s="40">
        <f t="shared" si="2"/>
        <v>4721062819.66</v>
      </c>
      <c r="H14" s="40">
        <v>98975745.68</v>
      </c>
      <c r="I14" s="40">
        <v>0</v>
      </c>
    </row>
    <row r="15" spans="2:9" ht="12.75">
      <c r="B15" s="39" t="s">
        <v>149</v>
      </c>
      <c r="C15" s="40">
        <v>0</v>
      </c>
      <c r="D15" s="40">
        <v>0</v>
      </c>
      <c r="E15" s="40">
        <v>0</v>
      </c>
      <c r="F15" s="40">
        <v>0</v>
      </c>
      <c r="G15" s="40">
        <f t="shared" si="2"/>
        <v>0</v>
      </c>
      <c r="H15" s="40">
        <v>0</v>
      </c>
      <c r="I15" s="40">
        <v>0</v>
      </c>
    </row>
    <row r="16" spans="2:9" ht="12.75">
      <c r="B16" s="39" t="s">
        <v>150</v>
      </c>
      <c r="C16" s="40">
        <v>0</v>
      </c>
      <c r="D16" s="40">
        <v>0</v>
      </c>
      <c r="E16" s="40">
        <v>0</v>
      </c>
      <c r="F16" s="40">
        <v>0</v>
      </c>
      <c r="G16" s="40">
        <f t="shared" si="2"/>
        <v>0</v>
      </c>
      <c r="H16" s="40">
        <v>0</v>
      </c>
      <c r="I16" s="40">
        <v>0</v>
      </c>
    </row>
    <row r="17" spans="2:9" ht="12.75">
      <c r="B17" s="37" t="s">
        <v>151</v>
      </c>
      <c r="C17" s="41">
        <v>2491716333.82</v>
      </c>
      <c r="D17" s="42"/>
      <c r="E17" s="42"/>
      <c r="F17" s="43"/>
      <c r="G17" s="41">
        <v>2712217010.34</v>
      </c>
      <c r="H17" s="43"/>
      <c r="I17" s="43"/>
    </row>
    <row r="18" spans="2:9" ht="12.75">
      <c r="B18" s="44"/>
      <c r="C18" s="40"/>
      <c r="D18" s="40"/>
      <c r="E18" s="40"/>
      <c r="F18" s="40"/>
      <c r="G18" s="40"/>
      <c r="H18" s="40"/>
      <c r="I18" s="40"/>
    </row>
    <row r="19" spans="2:9" ht="12.75" customHeight="1">
      <c r="B19" s="45" t="s">
        <v>152</v>
      </c>
      <c r="C19" s="38">
        <f>C8+C17</f>
        <v>7992004369.860001</v>
      </c>
      <c r="D19" s="38">
        <f aca="true" t="shared" si="4" ref="D19:I19">D8+D17</f>
        <v>137346647</v>
      </c>
      <c r="E19" s="38">
        <f>E8+E17</f>
        <v>372655476.37</v>
      </c>
      <c r="F19" s="38">
        <f t="shared" si="4"/>
        <v>0</v>
      </c>
      <c r="G19" s="38">
        <f t="shared" si="4"/>
        <v>7977196217.01</v>
      </c>
      <c r="H19" s="38">
        <f t="shared" si="4"/>
        <v>115122634.16000001</v>
      </c>
      <c r="I19" s="38">
        <f t="shared" si="4"/>
        <v>4779663.32</v>
      </c>
    </row>
    <row r="20" spans="2:9" ht="12.75">
      <c r="B20" s="37"/>
      <c r="C20" s="38"/>
      <c r="D20" s="38"/>
      <c r="E20" s="38"/>
      <c r="F20" s="38"/>
      <c r="G20" s="38"/>
      <c r="H20" s="38"/>
      <c r="I20" s="38"/>
    </row>
    <row r="21" spans="2:9" ht="12.75" customHeight="1">
      <c r="B21" s="37" t="s">
        <v>153</v>
      </c>
      <c r="C21" s="38">
        <f aca="true" t="shared" si="5" ref="C21:I21">SUM(C22:C27)</f>
        <v>3664639.25</v>
      </c>
      <c r="D21" s="38">
        <f t="shared" si="5"/>
        <v>0</v>
      </c>
      <c r="E21" s="38">
        <f t="shared" si="5"/>
        <v>913183.5</v>
      </c>
      <c r="F21" s="38">
        <f t="shared" si="5"/>
        <v>0</v>
      </c>
      <c r="G21" s="38">
        <f t="shared" si="5"/>
        <v>2751455.7500000005</v>
      </c>
      <c r="H21" s="38">
        <f t="shared" si="5"/>
        <v>0</v>
      </c>
      <c r="I21" s="38">
        <f t="shared" si="5"/>
        <v>0</v>
      </c>
    </row>
    <row r="22" spans="2:9" ht="12.75" customHeight="1">
      <c r="B22" s="44" t="s">
        <v>154</v>
      </c>
      <c r="C22" s="40">
        <v>545159.89</v>
      </c>
      <c r="D22" s="40">
        <v>0</v>
      </c>
      <c r="E22" s="40">
        <v>272580.03</v>
      </c>
      <c r="F22" s="40">
        <v>0</v>
      </c>
      <c r="G22" s="40">
        <f aca="true" t="shared" si="6" ref="G22:G27">C22+D22-E22+F22</f>
        <v>272579.86</v>
      </c>
      <c r="H22" s="40">
        <v>0</v>
      </c>
      <c r="I22" s="40">
        <v>0</v>
      </c>
    </row>
    <row r="23" spans="2:9" ht="12.75" customHeight="1">
      <c r="B23" s="44" t="s">
        <v>155</v>
      </c>
      <c r="C23" s="40">
        <v>288485.32</v>
      </c>
      <c r="D23" s="40">
        <v>0</v>
      </c>
      <c r="E23" s="40">
        <v>61818.27</v>
      </c>
      <c r="F23" s="40">
        <v>0</v>
      </c>
      <c r="G23" s="40">
        <f t="shared" si="6"/>
        <v>226667.05000000002</v>
      </c>
      <c r="H23" s="40">
        <v>0</v>
      </c>
      <c r="I23" s="40">
        <v>0</v>
      </c>
    </row>
    <row r="24" spans="2:9" ht="12.75" customHeight="1">
      <c r="B24" s="44" t="s">
        <v>156</v>
      </c>
      <c r="C24" s="40">
        <v>675989.31</v>
      </c>
      <c r="D24" s="40">
        <v>0</v>
      </c>
      <c r="E24" s="40">
        <v>155997.51</v>
      </c>
      <c r="F24" s="40">
        <v>0</v>
      </c>
      <c r="G24" s="40">
        <f t="shared" si="6"/>
        <v>519991.80000000005</v>
      </c>
      <c r="H24" s="40">
        <v>0</v>
      </c>
      <c r="I24" s="40">
        <v>0</v>
      </c>
    </row>
    <row r="25" spans="2:9" ht="12.75" customHeight="1">
      <c r="B25" s="44" t="s">
        <v>157</v>
      </c>
      <c r="C25" s="40">
        <v>1738556.57</v>
      </c>
      <c r="D25" s="40">
        <v>0</v>
      </c>
      <c r="E25" s="40">
        <v>173855.7</v>
      </c>
      <c r="F25" s="40">
        <v>0</v>
      </c>
      <c r="G25" s="40">
        <f t="shared" si="6"/>
        <v>1564700.87</v>
      </c>
      <c r="H25" s="40">
        <v>0</v>
      </c>
      <c r="I25" s="40">
        <v>0</v>
      </c>
    </row>
    <row r="26" spans="2:9" ht="12.75" customHeight="1">
      <c r="B26" s="44" t="s">
        <v>158</v>
      </c>
      <c r="C26" s="40">
        <v>152169.83</v>
      </c>
      <c r="D26" s="40">
        <v>0</v>
      </c>
      <c r="E26" s="40">
        <v>50723.4</v>
      </c>
      <c r="F26" s="40">
        <v>0</v>
      </c>
      <c r="G26" s="40">
        <f t="shared" si="6"/>
        <v>101446.43</v>
      </c>
      <c r="H26" s="40">
        <v>0</v>
      </c>
      <c r="I26" s="40">
        <v>0</v>
      </c>
    </row>
    <row r="27" spans="2:9" ht="12.75" customHeight="1">
      <c r="B27" s="44" t="s">
        <v>159</v>
      </c>
      <c r="C27" s="40">
        <v>264278.33</v>
      </c>
      <c r="D27" s="40">
        <v>0</v>
      </c>
      <c r="E27" s="40">
        <v>198208.59</v>
      </c>
      <c r="F27" s="40">
        <v>0</v>
      </c>
      <c r="G27" s="40">
        <f t="shared" si="6"/>
        <v>66069.74000000002</v>
      </c>
      <c r="H27" s="40">
        <v>0</v>
      </c>
      <c r="I27" s="40">
        <v>0</v>
      </c>
    </row>
    <row r="28" spans="2:9" ht="12.75">
      <c r="B28" s="46"/>
      <c r="C28" s="47"/>
      <c r="D28" s="47"/>
      <c r="E28" s="47"/>
      <c r="F28" s="47"/>
      <c r="G28" s="47"/>
      <c r="H28" s="47"/>
      <c r="I28" s="47"/>
    </row>
    <row r="29" spans="2:9" ht="25.5">
      <c r="B29" s="45" t="s">
        <v>160</v>
      </c>
      <c r="C29" s="38">
        <f aca="true" t="shared" si="7" ref="C29:I29">SUM(C30:C32)</f>
        <v>0</v>
      </c>
      <c r="D29" s="38">
        <f t="shared" si="7"/>
        <v>0</v>
      </c>
      <c r="E29" s="38">
        <f t="shared" si="7"/>
        <v>0</v>
      </c>
      <c r="F29" s="38">
        <f t="shared" si="7"/>
        <v>0</v>
      </c>
      <c r="G29" s="38">
        <f t="shared" si="7"/>
        <v>0</v>
      </c>
      <c r="H29" s="38">
        <f t="shared" si="7"/>
        <v>0</v>
      </c>
      <c r="I29" s="38">
        <f t="shared" si="7"/>
        <v>0</v>
      </c>
    </row>
    <row r="30" spans="2:9" ht="12.75" customHeight="1">
      <c r="B30" s="44" t="s">
        <v>161</v>
      </c>
      <c r="C30" s="40">
        <v>0</v>
      </c>
      <c r="D30" s="40">
        <v>0</v>
      </c>
      <c r="E30" s="40">
        <v>0</v>
      </c>
      <c r="F30" s="40">
        <v>0</v>
      </c>
      <c r="G30" s="40">
        <f>C30+D30-E30+F30</f>
        <v>0</v>
      </c>
      <c r="H30" s="40">
        <v>0</v>
      </c>
      <c r="I30" s="40">
        <v>0</v>
      </c>
    </row>
    <row r="31" spans="2:9" ht="12.75" customHeight="1">
      <c r="B31" s="44" t="s">
        <v>162</v>
      </c>
      <c r="C31" s="40">
        <v>0</v>
      </c>
      <c r="D31" s="40">
        <v>0</v>
      </c>
      <c r="E31" s="40">
        <v>0</v>
      </c>
      <c r="F31" s="40">
        <v>0</v>
      </c>
      <c r="G31" s="40">
        <f>C31+D31-E31+F31</f>
        <v>0</v>
      </c>
      <c r="H31" s="40">
        <v>0</v>
      </c>
      <c r="I31" s="40">
        <v>0</v>
      </c>
    </row>
    <row r="32" spans="2:9" ht="12.75" customHeight="1">
      <c r="B32" s="44" t="s">
        <v>163</v>
      </c>
      <c r="C32" s="40">
        <v>0</v>
      </c>
      <c r="D32" s="40">
        <v>0</v>
      </c>
      <c r="E32" s="40">
        <v>0</v>
      </c>
      <c r="F32" s="40">
        <v>0</v>
      </c>
      <c r="G32" s="40">
        <f>C32+D32-E32+F32</f>
        <v>0</v>
      </c>
      <c r="H32" s="40">
        <v>0</v>
      </c>
      <c r="I32" s="40">
        <v>0</v>
      </c>
    </row>
    <row r="33" spans="2:9" ht="13.5" thickBot="1">
      <c r="B33" s="48"/>
      <c r="C33" s="49"/>
      <c r="D33" s="49"/>
      <c r="E33" s="49"/>
      <c r="F33" s="49"/>
      <c r="G33" s="49"/>
      <c r="H33" s="49"/>
      <c r="I33" s="49"/>
    </row>
    <row r="34" spans="2:9" ht="18.75" customHeight="1">
      <c r="B34" s="215" t="s">
        <v>164</v>
      </c>
      <c r="C34" s="215"/>
      <c r="D34" s="215"/>
      <c r="E34" s="215"/>
      <c r="F34" s="215"/>
      <c r="G34" s="215"/>
      <c r="H34" s="215"/>
      <c r="I34" s="215"/>
    </row>
    <row r="35" spans="2:9" ht="12.75">
      <c r="B35" s="50" t="s">
        <v>165</v>
      </c>
      <c r="C35" s="51"/>
      <c r="D35" s="52"/>
      <c r="E35" s="52"/>
      <c r="F35" s="52"/>
      <c r="G35" s="52"/>
      <c r="H35" s="52"/>
      <c r="I35" s="52"/>
    </row>
    <row r="36" spans="2:9" ht="13.5" thickBot="1">
      <c r="B36" s="53"/>
      <c r="C36" s="51"/>
      <c r="D36" s="51"/>
      <c r="E36" s="51"/>
      <c r="F36" s="51"/>
      <c r="G36" s="51"/>
      <c r="H36" s="51"/>
      <c r="I36" s="51"/>
    </row>
    <row r="37" spans="2:9" ht="38.25" customHeight="1">
      <c r="B37" s="216" t="s">
        <v>166</v>
      </c>
      <c r="C37" s="216" t="s">
        <v>167</v>
      </c>
      <c r="D37" s="216" t="s">
        <v>168</v>
      </c>
      <c r="E37" s="54" t="s">
        <v>169</v>
      </c>
      <c r="F37" s="216" t="s">
        <v>170</v>
      </c>
      <c r="G37" s="54" t="s">
        <v>171</v>
      </c>
      <c r="H37" s="51"/>
      <c r="I37" s="51"/>
    </row>
    <row r="38" spans="2:9" ht="15.75" customHeight="1" thickBot="1">
      <c r="B38" s="217"/>
      <c r="C38" s="217"/>
      <c r="D38" s="217"/>
      <c r="E38" s="55" t="s">
        <v>172</v>
      </c>
      <c r="F38" s="217"/>
      <c r="G38" s="55" t="s">
        <v>173</v>
      </c>
      <c r="H38" s="51"/>
      <c r="I38" s="51"/>
    </row>
    <row r="39" spans="2:9" ht="12.75">
      <c r="B39" s="56" t="s">
        <v>174</v>
      </c>
      <c r="C39" s="38">
        <f>SUM(C40:C44)</f>
        <v>909286127</v>
      </c>
      <c r="D39" s="38"/>
      <c r="E39" s="38"/>
      <c r="F39" s="38">
        <f>SUM(F40:F44)</f>
        <v>4779663.32</v>
      </c>
      <c r="G39" s="38"/>
      <c r="H39" s="51"/>
      <c r="I39" s="51"/>
    </row>
    <row r="40" spans="2:9" ht="12.75">
      <c r="B40" s="44" t="s">
        <v>175</v>
      </c>
      <c r="C40" s="40">
        <v>200000000</v>
      </c>
      <c r="D40" s="57" t="s">
        <v>176</v>
      </c>
      <c r="E40" s="58" t="s">
        <v>177</v>
      </c>
      <c r="F40" s="40">
        <v>0</v>
      </c>
      <c r="G40" s="40">
        <v>0</v>
      </c>
      <c r="H40" s="51"/>
      <c r="I40" s="51"/>
    </row>
    <row r="41" spans="2:9" ht="12.75">
      <c r="B41" s="44" t="s">
        <v>178</v>
      </c>
      <c r="C41" s="40">
        <v>400000000</v>
      </c>
      <c r="D41" s="57" t="s">
        <v>176</v>
      </c>
      <c r="E41" s="58" t="s">
        <v>179</v>
      </c>
      <c r="F41" s="40">
        <v>0</v>
      </c>
      <c r="G41" s="40">
        <v>0</v>
      </c>
      <c r="H41" s="51"/>
      <c r="I41" s="51"/>
    </row>
    <row r="42" spans="2:9" ht="12.75">
      <c r="B42" s="44" t="s">
        <v>180</v>
      </c>
      <c r="C42" s="40">
        <v>171939480</v>
      </c>
      <c r="D42" s="57" t="s">
        <v>176</v>
      </c>
      <c r="E42" s="58" t="s">
        <v>179</v>
      </c>
      <c r="F42" s="40">
        <v>0</v>
      </c>
      <c r="G42" s="40">
        <v>0</v>
      </c>
      <c r="H42" s="51"/>
      <c r="I42" s="51"/>
    </row>
    <row r="43" spans="2:9" ht="12.75">
      <c r="B43" s="44" t="s">
        <v>181</v>
      </c>
      <c r="C43" s="40">
        <v>78800000</v>
      </c>
      <c r="D43" s="59" t="s">
        <v>182</v>
      </c>
      <c r="E43" s="60" t="s">
        <v>179</v>
      </c>
      <c r="F43" s="40">
        <v>2742240</v>
      </c>
      <c r="G43" s="40">
        <v>0</v>
      </c>
      <c r="H43" s="51"/>
      <c r="I43" s="51"/>
    </row>
    <row r="44" spans="2:9" ht="13.5" thickBot="1">
      <c r="B44" s="61" t="s">
        <v>183</v>
      </c>
      <c r="C44" s="62">
        <v>58546647</v>
      </c>
      <c r="D44" s="63" t="s">
        <v>184</v>
      </c>
      <c r="E44" s="64" t="s">
        <v>179</v>
      </c>
      <c r="F44" s="62">
        <v>2037423.32</v>
      </c>
      <c r="G44" s="62">
        <v>0</v>
      </c>
      <c r="H44" s="51"/>
      <c r="I44" s="51"/>
    </row>
  </sheetData>
  <sheetProtection/>
  <mergeCells count="9">
    <mergeCell ref="B2:I2"/>
    <mergeCell ref="B3:I3"/>
    <mergeCell ref="B4:I4"/>
    <mergeCell ref="B5:I5"/>
    <mergeCell ref="B34:I34"/>
    <mergeCell ref="B37:B38"/>
    <mergeCell ref="C37:C38"/>
    <mergeCell ref="D37:D38"/>
    <mergeCell ref="F37:F38"/>
  </mergeCell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G13" formula="1"/>
    <ignoredError sqref="C13" formulaRange="1"/>
    <ignoredError sqref="D40:D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09" t="s">
        <v>120</v>
      </c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2:12" ht="15.75" thickBot="1">
      <c r="B3" s="212" t="s">
        <v>185</v>
      </c>
      <c r="C3" s="213"/>
      <c r="D3" s="213"/>
      <c r="E3" s="213"/>
      <c r="F3" s="213"/>
      <c r="G3" s="213"/>
      <c r="H3" s="213"/>
      <c r="I3" s="213"/>
      <c r="J3" s="213"/>
      <c r="K3" s="213"/>
      <c r="L3" s="214"/>
    </row>
    <row r="4" spans="2:12" ht="15.75" thickBot="1">
      <c r="B4" s="212" t="s">
        <v>125</v>
      </c>
      <c r="C4" s="213"/>
      <c r="D4" s="213"/>
      <c r="E4" s="213"/>
      <c r="F4" s="213"/>
      <c r="G4" s="213"/>
      <c r="H4" s="213"/>
      <c r="I4" s="213"/>
      <c r="J4" s="213"/>
      <c r="K4" s="213"/>
      <c r="L4" s="214"/>
    </row>
    <row r="5" spans="2:12" ht="15.75" thickBot="1">
      <c r="B5" s="212" t="s">
        <v>1</v>
      </c>
      <c r="C5" s="213"/>
      <c r="D5" s="213"/>
      <c r="E5" s="213"/>
      <c r="F5" s="213"/>
      <c r="G5" s="213"/>
      <c r="H5" s="213"/>
      <c r="I5" s="213"/>
      <c r="J5" s="213"/>
      <c r="K5" s="213"/>
      <c r="L5" s="214"/>
    </row>
    <row r="6" spans="2:12" ht="102">
      <c r="B6" s="65" t="s">
        <v>186</v>
      </c>
      <c r="C6" s="66" t="s">
        <v>187</v>
      </c>
      <c r="D6" s="66" t="s">
        <v>188</v>
      </c>
      <c r="E6" s="66" t="s">
        <v>189</v>
      </c>
      <c r="F6" s="66" t="s">
        <v>190</v>
      </c>
      <c r="G6" s="66" t="s">
        <v>191</v>
      </c>
      <c r="H6" s="66" t="s">
        <v>192</v>
      </c>
      <c r="I6" s="66" t="s">
        <v>193</v>
      </c>
      <c r="J6" s="66" t="s">
        <v>194</v>
      </c>
      <c r="K6" s="66" t="s">
        <v>195</v>
      </c>
      <c r="L6" s="66" t="s">
        <v>196</v>
      </c>
    </row>
    <row r="7" spans="2:12" ht="15.75" thickBot="1">
      <c r="B7" s="36" t="s">
        <v>134</v>
      </c>
      <c r="C7" s="36" t="s">
        <v>135</v>
      </c>
      <c r="D7" s="36" t="s">
        <v>136</v>
      </c>
      <c r="E7" s="36" t="s">
        <v>137</v>
      </c>
      <c r="F7" s="36" t="s">
        <v>138</v>
      </c>
      <c r="G7" s="36" t="s">
        <v>197</v>
      </c>
      <c r="H7" s="36" t="s">
        <v>140</v>
      </c>
      <c r="I7" s="36" t="s">
        <v>141</v>
      </c>
      <c r="J7" s="36" t="s">
        <v>198</v>
      </c>
      <c r="K7" s="36" t="s">
        <v>199</v>
      </c>
      <c r="L7" s="36" t="s">
        <v>200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201</v>
      </c>
      <c r="C9" s="70"/>
      <c r="D9" s="70"/>
      <c r="E9" s="70"/>
      <c r="F9" s="70">
        <f aca="true" t="shared" si="0" ref="F9:L9">SUM(F10:F13)</f>
        <v>0</v>
      </c>
      <c r="G9" s="70"/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</row>
    <row r="10" spans="2:12" ht="15">
      <c r="B10" s="71" t="s">
        <v>202</v>
      </c>
      <c r="C10" s="72"/>
      <c r="D10" s="72"/>
      <c r="E10" s="72"/>
      <c r="F10" s="72">
        <v>0</v>
      </c>
      <c r="G10" s="72"/>
      <c r="H10" s="72">
        <v>0</v>
      </c>
      <c r="I10" s="72">
        <v>0</v>
      </c>
      <c r="J10" s="72">
        <v>0</v>
      </c>
      <c r="K10" s="72">
        <v>0</v>
      </c>
      <c r="L10" s="72">
        <f>F10-K10</f>
        <v>0</v>
      </c>
    </row>
    <row r="11" spans="2:12" ht="15">
      <c r="B11" s="71" t="s">
        <v>203</v>
      </c>
      <c r="C11" s="72"/>
      <c r="D11" s="72"/>
      <c r="E11" s="72"/>
      <c r="F11" s="72">
        <v>0</v>
      </c>
      <c r="G11" s="72"/>
      <c r="H11" s="72">
        <v>0</v>
      </c>
      <c r="I11" s="72">
        <v>0</v>
      </c>
      <c r="J11" s="72">
        <v>0</v>
      </c>
      <c r="K11" s="72">
        <v>0</v>
      </c>
      <c r="L11" s="72">
        <f aca="true" t="shared" si="1" ref="L11:L19">F11-K11</f>
        <v>0</v>
      </c>
    </row>
    <row r="12" spans="2:12" ht="15">
      <c r="B12" s="71" t="s">
        <v>204</v>
      </c>
      <c r="C12" s="72"/>
      <c r="D12" s="72"/>
      <c r="E12" s="72"/>
      <c r="F12" s="72">
        <v>0</v>
      </c>
      <c r="G12" s="72"/>
      <c r="H12" s="72">
        <v>0</v>
      </c>
      <c r="I12" s="72">
        <v>0</v>
      </c>
      <c r="J12" s="72">
        <v>0</v>
      </c>
      <c r="K12" s="72">
        <v>0</v>
      </c>
      <c r="L12" s="72">
        <f t="shared" si="1"/>
        <v>0</v>
      </c>
    </row>
    <row r="13" spans="2:12" ht="15">
      <c r="B13" s="71" t="s">
        <v>205</v>
      </c>
      <c r="C13" s="72"/>
      <c r="D13" s="72"/>
      <c r="E13" s="72"/>
      <c r="F13" s="72">
        <v>0</v>
      </c>
      <c r="G13" s="72"/>
      <c r="H13" s="72">
        <v>0</v>
      </c>
      <c r="I13" s="72">
        <v>0</v>
      </c>
      <c r="J13" s="72">
        <v>0</v>
      </c>
      <c r="K13" s="72">
        <v>0</v>
      </c>
      <c r="L13" s="72">
        <f t="shared" si="1"/>
        <v>0</v>
      </c>
    </row>
    <row r="14" spans="2:12" ht="15"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 ht="15">
      <c r="B15" s="69" t="s">
        <v>206</v>
      </c>
      <c r="C15" s="70"/>
      <c r="D15" s="70"/>
      <c r="E15" s="70"/>
      <c r="F15" s="70">
        <f aca="true" t="shared" si="2" ref="F15:L15">SUM(F16:F19)</f>
        <v>0</v>
      </c>
      <c r="G15" s="70"/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</row>
    <row r="16" spans="2:12" ht="15">
      <c r="B16" s="71" t="s">
        <v>207</v>
      </c>
      <c r="C16" s="72"/>
      <c r="D16" s="72"/>
      <c r="E16" s="72"/>
      <c r="F16" s="72">
        <v>0</v>
      </c>
      <c r="G16" s="72"/>
      <c r="H16" s="72">
        <v>0</v>
      </c>
      <c r="I16" s="72">
        <v>0</v>
      </c>
      <c r="J16" s="72">
        <v>0</v>
      </c>
      <c r="K16" s="72">
        <v>0</v>
      </c>
      <c r="L16" s="72">
        <f t="shared" si="1"/>
        <v>0</v>
      </c>
    </row>
    <row r="17" spans="2:12" ht="15">
      <c r="B17" s="71" t="s">
        <v>208</v>
      </c>
      <c r="C17" s="72"/>
      <c r="D17" s="72"/>
      <c r="E17" s="72"/>
      <c r="F17" s="72">
        <v>0</v>
      </c>
      <c r="G17" s="72"/>
      <c r="H17" s="72">
        <v>0</v>
      </c>
      <c r="I17" s="72">
        <v>0</v>
      </c>
      <c r="J17" s="72">
        <v>0</v>
      </c>
      <c r="K17" s="72">
        <v>0</v>
      </c>
      <c r="L17" s="72">
        <f t="shared" si="1"/>
        <v>0</v>
      </c>
    </row>
    <row r="18" spans="2:12" ht="15">
      <c r="B18" s="71" t="s">
        <v>209</v>
      </c>
      <c r="C18" s="72"/>
      <c r="D18" s="72"/>
      <c r="E18" s="72"/>
      <c r="F18" s="72">
        <v>0</v>
      </c>
      <c r="G18" s="72"/>
      <c r="H18" s="72">
        <v>0</v>
      </c>
      <c r="I18" s="72">
        <v>0</v>
      </c>
      <c r="J18" s="72">
        <v>0</v>
      </c>
      <c r="K18" s="72">
        <v>0</v>
      </c>
      <c r="L18" s="72">
        <f t="shared" si="1"/>
        <v>0</v>
      </c>
    </row>
    <row r="19" spans="2:12" ht="15">
      <c r="B19" s="71" t="s">
        <v>210</v>
      </c>
      <c r="C19" s="72"/>
      <c r="D19" s="72"/>
      <c r="E19" s="72"/>
      <c r="F19" s="72">
        <v>0</v>
      </c>
      <c r="G19" s="72"/>
      <c r="H19" s="72">
        <v>0</v>
      </c>
      <c r="I19" s="72">
        <v>0</v>
      </c>
      <c r="J19" s="72">
        <v>0</v>
      </c>
      <c r="K19" s="72">
        <v>0</v>
      </c>
      <c r="L19" s="72">
        <f t="shared" si="1"/>
        <v>0</v>
      </c>
    </row>
    <row r="20" spans="2:12" ht="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 ht="38.25">
      <c r="B21" s="69" t="s">
        <v>211</v>
      </c>
      <c r="C21" s="70"/>
      <c r="D21" s="70"/>
      <c r="E21" s="70"/>
      <c r="F21" s="70">
        <f aca="true" t="shared" si="3" ref="F21:L21">F9+F15</f>
        <v>0</v>
      </c>
      <c r="G21" s="70"/>
      <c r="H21" s="70">
        <f t="shared" si="3"/>
        <v>0</v>
      </c>
      <c r="I21" s="70">
        <f t="shared" si="3"/>
        <v>0</v>
      </c>
      <c r="J21" s="70">
        <f t="shared" si="3"/>
        <v>0</v>
      </c>
      <c r="K21" s="70">
        <f t="shared" si="3"/>
        <v>0</v>
      </c>
      <c r="L21" s="70">
        <f t="shared" si="3"/>
        <v>0</v>
      </c>
    </row>
    <row r="22" spans="2:12" ht="15.75" thickBot="1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200" t="s">
        <v>120</v>
      </c>
      <c r="C2" s="201"/>
      <c r="D2" s="201"/>
      <c r="E2" s="202"/>
    </row>
    <row r="3" spans="2:5" ht="12.75">
      <c r="B3" s="225" t="s">
        <v>212</v>
      </c>
      <c r="C3" s="226"/>
      <c r="D3" s="226"/>
      <c r="E3" s="227"/>
    </row>
    <row r="4" spans="2:5" ht="12.75">
      <c r="B4" s="225" t="s">
        <v>125</v>
      </c>
      <c r="C4" s="226"/>
      <c r="D4" s="226"/>
      <c r="E4" s="227"/>
    </row>
    <row r="5" spans="2:5" ht="13.5" thickBot="1">
      <c r="B5" s="228" t="s">
        <v>1</v>
      </c>
      <c r="C5" s="229"/>
      <c r="D5" s="229"/>
      <c r="E5" s="230"/>
    </row>
    <row r="6" spans="2:5" ht="13.5" thickBot="1">
      <c r="B6" s="77"/>
      <c r="C6" s="77"/>
      <c r="D6" s="77"/>
      <c r="E6" s="77"/>
    </row>
    <row r="7" spans="2:5" ht="12.75">
      <c r="B7" s="231" t="s">
        <v>2</v>
      </c>
      <c r="C7" s="31" t="s">
        <v>213</v>
      </c>
      <c r="D7" s="233" t="s">
        <v>214</v>
      </c>
      <c r="E7" s="31" t="s">
        <v>215</v>
      </c>
    </row>
    <row r="8" spans="2:5" ht="13.5" thickBot="1">
      <c r="B8" s="232"/>
      <c r="C8" s="32" t="s">
        <v>216</v>
      </c>
      <c r="D8" s="234"/>
      <c r="E8" s="32" t="s">
        <v>217</v>
      </c>
    </row>
    <row r="9" spans="2:5" ht="12.75">
      <c r="B9" s="78" t="s">
        <v>218</v>
      </c>
      <c r="C9" s="79">
        <f>SUM(C10:C12)</f>
        <v>19567836860</v>
      </c>
      <c r="D9" s="79">
        <f>SUM(D10:D12)</f>
        <v>6023865426.32</v>
      </c>
      <c r="E9" s="79">
        <f>SUM(E10:E12)</f>
        <v>6023865426.32</v>
      </c>
    </row>
    <row r="10" spans="2:5" ht="12.75">
      <c r="B10" s="80" t="s">
        <v>219</v>
      </c>
      <c r="C10" s="81">
        <v>8291955867</v>
      </c>
      <c r="D10" s="81">
        <v>2466289269.08</v>
      </c>
      <c r="E10" s="81">
        <v>2466289269.08</v>
      </c>
    </row>
    <row r="11" spans="2:5" ht="12.75">
      <c r="B11" s="80" t="s">
        <v>220</v>
      </c>
      <c r="C11" s="81">
        <v>11353166729</v>
      </c>
      <c r="D11" s="81">
        <v>3578425792.06</v>
      </c>
      <c r="E11" s="81">
        <v>3578425792.06</v>
      </c>
    </row>
    <row r="12" spans="2:5" ht="12.75">
      <c r="B12" s="80" t="s">
        <v>221</v>
      </c>
      <c r="C12" s="81">
        <f>C48</f>
        <v>-77285736</v>
      </c>
      <c r="D12" s="81">
        <f>D48</f>
        <v>-20849634.82</v>
      </c>
      <c r="E12" s="81">
        <f>E48</f>
        <v>-20849634.82</v>
      </c>
    </row>
    <row r="13" spans="2:7" ht="12.75">
      <c r="B13" s="78"/>
      <c r="C13" s="81"/>
      <c r="D13" s="81"/>
      <c r="E13" s="81"/>
      <c r="G13" s="82"/>
    </row>
    <row r="14" spans="2:7" ht="15">
      <c r="B14" s="78" t="s">
        <v>222</v>
      </c>
      <c r="C14" s="83">
        <f>SUM(C15:C16)</f>
        <v>19567836860</v>
      </c>
      <c r="D14" s="83">
        <f>SUM(D15:D16)</f>
        <v>4871452829.32</v>
      </c>
      <c r="E14" s="83">
        <f>SUM(E15:E16)</f>
        <v>4824870505.71</v>
      </c>
      <c r="G14" s="82"/>
    </row>
    <row r="15" spans="2:7" ht="12.75">
      <c r="B15" s="80" t="s">
        <v>223</v>
      </c>
      <c r="C15" s="84">
        <f>8291955867-0</f>
        <v>8291955867</v>
      </c>
      <c r="D15" s="84">
        <f>2049255490.79-20849634.82</f>
        <v>2028405855.97</v>
      </c>
      <c r="E15" s="84">
        <f>2004730532.8-20849634.82</f>
        <v>1983880897.98</v>
      </c>
      <c r="G15" s="82"/>
    </row>
    <row r="16" spans="2:7" ht="12.75">
      <c r="B16" s="80" t="s">
        <v>224</v>
      </c>
      <c r="C16" s="81">
        <f>11353166729-77285736</f>
        <v>11275880993</v>
      </c>
      <c r="D16" s="81">
        <f>2843046973.35-0</f>
        <v>2843046973.35</v>
      </c>
      <c r="E16" s="81">
        <f>2840989607.73-0</f>
        <v>2840989607.73</v>
      </c>
      <c r="G16" s="82"/>
    </row>
    <row r="17" spans="2:7" ht="12.75">
      <c r="B17" s="85"/>
      <c r="C17" s="81"/>
      <c r="D17" s="79"/>
      <c r="E17" s="79"/>
      <c r="G17" s="82"/>
    </row>
    <row r="18" spans="2:5" ht="12.75">
      <c r="B18" s="78" t="s">
        <v>225</v>
      </c>
      <c r="C18" s="86"/>
      <c r="D18" s="79">
        <f>SUM(D19:D20)</f>
        <v>170009024.27</v>
      </c>
      <c r="E18" s="79">
        <f>SUM(E19:E20)</f>
        <v>168068035.65</v>
      </c>
    </row>
    <row r="19" spans="2:7" ht="12.75">
      <c r="B19" s="80" t="s">
        <v>226</v>
      </c>
      <c r="C19" s="86"/>
      <c r="D19" s="81">
        <v>0</v>
      </c>
      <c r="E19" s="81">
        <v>0</v>
      </c>
      <c r="G19" s="82"/>
    </row>
    <row r="20" spans="2:5" ht="12.75">
      <c r="B20" s="80" t="s">
        <v>227</v>
      </c>
      <c r="C20" s="86"/>
      <c r="D20" s="81">
        <v>170009024.27</v>
      </c>
      <c r="E20" s="81">
        <v>168068035.65</v>
      </c>
    </row>
    <row r="21" spans="2:5" ht="12.75">
      <c r="B21" s="85"/>
      <c r="C21" s="81"/>
      <c r="D21" s="81"/>
      <c r="E21" s="81"/>
    </row>
    <row r="22" spans="2:5" ht="12.75">
      <c r="B22" s="78" t="s">
        <v>228</v>
      </c>
      <c r="C22" s="83">
        <f>C9-C14+C18</f>
        <v>0</v>
      </c>
      <c r="D22" s="87">
        <f>D9-D14+D18</f>
        <v>1322421621.27</v>
      </c>
      <c r="E22" s="87">
        <f>E9-E14+E18</f>
        <v>1367062956.2599998</v>
      </c>
    </row>
    <row r="23" spans="2:5" ht="12.75">
      <c r="B23" s="78"/>
      <c r="C23" s="81"/>
      <c r="D23" s="88"/>
      <c r="E23" s="88"/>
    </row>
    <row r="24" spans="2:5" ht="12.75">
      <c r="B24" s="78" t="s">
        <v>229</v>
      </c>
      <c r="C24" s="83">
        <f>C22-C12</f>
        <v>77285736</v>
      </c>
      <c r="D24" s="87">
        <f>D22-D12</f>
        <v>1343271256.09</v>
      </c>
      <c r="E24" s="87">
        <f>E22-E12</f>
        <v>1387912591.0799997</v>
      </c>
    </row>
    <row r="25" spans="2:5" ht="12.75">
      <c r="B25" s="78"/>
      <c r="C25" s="81"/>
      <c r="D25" s="88"/>
      <c r="E25" s="88"/>
    </row>
    <row r="26" spans="2:5" ht="25.5">
      <c r="B26" s="78" t="s">
        <v>230</v>
      </c>
      <c r="C26" s="83">
        <f>C24-C18</f>
        <v>77285736</v>
      </c>
      <c r="D26" s="83">
        <f>D24-D18</f>
        <v>1173262231.82</v>
      </c>
      <c r="E26" s="83">
        <f>E24-E18</f>
        <v>1219844555.4299996</v>
      </c>
    </row>
    <row r="27" spans="2:5" ht="13.5" thickBot="1">
      <c r="B27" s="89"/>
      <c r="C27" s="90"/>
      <c r="D27" s="90"/>
      <c r="E27" s="90"/>
    </row>
    <row r="28" spans="2:5" ht="34.5" customHeight="1" thickBot="1">
      <c r="B28" s="224"/>
      <c r="C28" s="224"/>
      <c r="D28" s="224"/>
      <c r="E28" s="224"/>
    </row>
    <row r="29" spans="2:5" ht="13.5" thickBot="1">
      <c r="B29" s="91" t="s">
        <v>231</v>
      </c>
      <c r="C29" s="92" t="s">
        <v>232</v>
      </c>
      <c r="D29" s="92" t="s">
        <v>214</v>
      </c>
      <c r="E29" s="92" t="s">
        <v>233</v>
      </c>
    </row>
    <row r="30" spans="2:5" ht="12.75">
      <c r="B30" s="93"/>
      <c r="C30" s="94"/>
      <c r="D30" s="94"/>
      <c r="E30" s="94"/>
    </row>
    <row r="31" spans="2:5" ht="12.75">
      <c r="B31" s="78" t="s">
        <v>234</v>
      </c>
      <c r="C31" s="79">
        <f>SUM(C32:C33)</f>
        <v>373442672</v>
      </c>
      <c r="D31" s="79">
        <f>SUM(D32:D33)</f>
        <v>98975745.68</v>
      </c>
      <c r="E31" s="79">
        <f>SUM(E32:E33)</f>
        <v>98975745.68</v>
      </c>
    </row>
    <row r="32" spans="2:5" ht="12.75">
      <c r="B32" s="80" t="s">
        <v>235</v>
      </c>
      <c r="C32" s="81">
        <v>216403110</v>
      </c>
      <c r="D32" s="81">
        <v>98975745.68</v>
      </c>
      <c r="E32" s="81">
        <v>98975745.68</v>
      </c>
    </row>
    <row r="33" spans="2:5" ht="12.75">
      <c r="B33" s="80" t="s">
        <v>236</v>
      </c>
      <c r="C33" s="81">
        <v>157039562</v>
      </c>
      <c r="D33" s="81">
        <v>0</v>
      </c>
      <c r="E33" s="81">
        <v>0</v>
      </c>
    </row>
    <row r="34" spans="2:5" ht="12.75">
      <c r="B34" s="78"/>
      <c r="C34" s="81"/>
      <c r="D34" s="81"/>
      <c r="E34" s="81"/>
    </row>
    <row r="35" spans="2:5" ht="12.75">
      <c r="B35" s="78" t="s">
        <v>237</v>
      </c>
      <c r="C35" s="83">
        <f>C26+C31</f>
        <v>450728408</v>
      </c>
      <c r="D35" s="83">
        <f>D26+D31</f>
        <v>1272237977.5</v>
      </c>
      <c r="E35" s="83">
        <f>E26+E31</f>
        <v>1318820301.1099997</v>
      </c>
    </row>
    <row r="36" spans="2:5" ht="13.5" thickBot="1">
      <c r="B36" s="95"/>
      <c r="C36" s="96"/>
      <c r="D36" s="96"/>
      <c r="E36" s="96"/>
    </row>
    <row r="37" spans="2:5" ht="34.5" customHeight="1" thickBot="1">
      <c r="B37" s="97"/>
      <c r="C37" s="97"/>
      <c r="D37" s="97"/>
      <c r="E37" s="97"/>
    </row>
    <row r="38" spans="2:5" ht="12.75">
      <c r="B38" s="218" t="s">
        <v>231</v>
      </c>
      <c r="C38" s="220" t="s">
        <v>238</v>
      </c>
      <c r="D38" s="222" t="s">
        <v>214</v>
      </c>
      <c r="E38" s="98" t="s">
        <v>215</v>
      </c>
    </row>
    <row r="39" spans="2:5" ht="13.5" thickBot="1">
      <c r="B39" s="219"/>
      <c r="C39" s="221"/>
      <c r="D39" s="223"/>
      <c r="E39" s="99" t="s">
        <v>233</v>
      </c>
    </row>
    <row r="40" spans="2:5" ht="12.75">
      <c r="B40" s="100"/>
      <c r="C40" s="101"/>
      <c r="D40" s="101"/>
      <c r="E40" s="101"/>
    </row>
    <row r="41" spans="2:5" ht="12.75">
      <c r="B41" s="102" t="s">
        <v>239</v>
      </c>
      <c r="C41" s="79">
        <f>SUM(C42:C43)</f>
        <v>0</v>
      </c>
      <c r="D41" s="79">
        <f>SUM(D42:D43)</f>
        <v>0</v>
      </c>
      <c r="E41" s="79">
        <f>SUM(E42:E43)</f>
        <v>0</v>
      </c>
    </row>
    <row r="42" spans="2:5" ht="12.75">
      <c r="B42" s="103" t="s">
        <v>240</v>
      </c>
      <c r="C42" s="81">
        <v>0</v>
      </c>
      <c r="D42" s="81">
        <v>0</v>
      </c>
      <c r="E42" s="81">
        <v>0</v>
      </c>
    </row>
    <row r="43" spans="2:5" ht="12.75">
      <c r="B43" s="103" t="s">
        <v>241</v>
      </c>
      <c r="C43" s="81">
        <v>0</v>
      </c>
      <c r="D43" s="81">
        <v>0</v>
      </c>
      <c r="E43" s="81">
        <v>0</v>
      </c>
    </row>
    <row r="44" spans="2:5" ht="12.75">
      <c r="B44" s="102" t="s">
        <v>242</v>
      </c>
      <c r="C44" s="79">
        <f>SUM(C45:C46)</f>
        <v>77285736</v>
      </c>
      <c r="D44" s="79">
        <f>SUM(D45:D46)</f>
        <v>20849634.82</v>
      </c>
      <c r="E44" s="79">
        <f>SUM(E45:E46)</f>
        <v>20849634.82</v>
      </c>
    </row>
    <row r="45" spans="2:5" ht="12.75">
      <c r="B45" s="103" t="s">
        <v>243</v>
      </c>
      <c r="C45" s="81">
        <v>0</v>
      </c>
      <c r="D45" s="81">
        <v>20849634.82</v>
      </c>
      <c r="E45" s="81">
        <v>20849634.82</v>
      </c>
    </row>
    <row r="46" spans="2:5" ht="12.75">
      <c r="B46" s="103" t="s">
        <v>244</v>
      </c>
      <c r="C46" s="81">
        <v>77285736</v>
      </c>
      <c r="D46" s="81">
        <v>0</v>
      </c>
      <c r="E46" s="81">
        <v>0</v>
      </c>
    </row>
    <row r="47" spans="2:5" ht="12.75">
      <c r="B47" s="102"/>
      <c r="C47" s="104"/>
      <c r="D47" s="104"/>
      <c r="E47" s="104"/>
    </row>
    <row r="48" spans="2:5" ht="12.75">
      <c r="B48" s="102" t="s">
        <v>245</v>
      </c>
      <c r="C48" s="79">
        <f>C41-C44</f>
        <v>-77285736</v>
      </c>
      <c r="D48" s="79">
        <f>D41-D44</f>
        <v>-20849634.82</v>
      </c>
      <c r="E48" s="79">
        <f>E41-E44</f>
        <v>-20849634.82</v>
      </c>
    </row>
    <row r="49" spans="2:5" ht="13.5" thickBot="1">
      <c r="B49" s="105"/>
      <c r="C49" s="106"/>
      <c r="D49" s="105"/>
      <c r="E49" s="105"/>
    </row>
    <row r="50" spans="2:5" ht="34.5" customHeight="1" thickBot="1">
      <c r="B50" s="97"/>
      <c r="C50" s="97"/>
      <c r="D50" s="97"/>
      <c r="E50" s="97"/>
    </row>
    <row r="51" spans="2:5" ht="12.75">
      <c r="B51" s="218" t="s">
        <v>231</v>
      </c>
      <c r="C51" s="98" t="s">
        <v>213</v>
      </c>
      <c r="D51" s="222" t="s">
        <v>214</v>
      </c>
      <c r="E51" s="98" t="s">
        <v>215</v>
      </c>
    </row>
    <row r="52" spans="2:5" ht="13.5" thickBot="1">
      <c r="B52" s="219"/>
      <c r="C52" s="99" t="s">
        <v>232</v>
      </c>
      <c r="D52" s="223"/>
      <c r="E52" s="99" t="s">
        <v>233</v>
      </c>
    </row>
    <row r="53" spans="2:5" ht="12.75">
      <c r="B53" s="100"/>
      <c r="C53" s="101"/>
      <c r="D53" s="101"/>
      <c r="E53" s="101"/>
    </row>
    <row r="54" spans="2:5" ht="12.75">
      <c r="B54" s="107" t="s">
        <v>246</v>
      </c>
      <c r="C54" s="81">
        <f>C10</f>
        <v>8291955867</v>
      </c>
      <c r="D54" s="81">
        <f>D10</f>
        <v>2466289269.08</v>
      </c>
      <c r="E54" s="81">
        <f>E10</f>
        <v>2466289269.08</v>
      </c>
    </row>
    <row r="55" spans="2:5" ht="12.75">
      <c r="B55" s="107"/>
      <c r="C55" s="104"/>
      <c r="D55" s="108"/>
      <c r="E55" s="108"/>
    </row>
    <row r="56" spans="2:5" ht="12.75">
      <c r="B56" s="109" t="s">
        <v>247</v>
      </c>
      <c r="C56" s="81">
        <f>C42-C45</f>
        <v>0</v>
      </c>
      <c r="D56" s="81">
        <f>D42-D45</f>
        <v>-20849634.82</v>
      </c>
      <c r="E56" s="81">
        <f>E42-E45</f>
        <v>-20849634.82</v>
      </c>
    </row>
    <row r="57" spans="2:5" ht="12.75">
      <c r="B57" s="103" t="s">
        <v>240</v>
      </c>
      <c r="C57" s="81">
        <f>C42</f>
        <v>0</v>
      </c>
      <c r="D57" s="81">
        <f>D42</f>
        <v>0</v>
      </c>
      <c r="E57" s="81">
        <f>E42</f>
        <v>0</v>
      </c>
    </row>
    <row r="58" spans="2:5" ht="12.75">
      <c r="B58" s="103" t="s">
        <v>243</v>
      </c>
      <c r="C58" s="81">
        <f>C45</f>
        <v>0</v>
      </c>
      <c r="D58" s="81">
        <f>D45</f>
        <v>20849634.82</v>
      </c>
      <c r="E58" s="81">
        <f>E45</f>
        <v>20849634.82</v>
      </c>
    </row>
    <row r="59" spans="2:5" ht="12.75">
      <c r="B59" s="110"/>
      <c r="C59" s="104"/>
      <c r="D59" s="108"/>
      <c r="E59" s="108"/>
    </row>
    <row r="60" spans="2:5" ht="12.75">
      <c r="B60" s="110" t="s">
        <v>223</v>
      </c>
      <c r="C60" s="111">
        <f>C15</f>
        <v>8291955867</v>
      </c>
      <c r="D60" s="111">
        <f>D15</f>
        <v>2028405855.97</v>
      </c>
      <c r="E60" s="111">
        <f>E15</f>
        <v>1983880897.98</v>
      </c>
    </row>
    <row r="61" spans="2:5" ht="12.75">
      <c r="B61" s="110"/>
      <c r="C61" s="104"/>
      <c r="D61" s="104"/>
      <c r="E61" s="104"/>
    </row>
    <row r="62" spans="2:5" ht="12.75">
      <c r="B62" s="110" t="s">
        <v>226</v>
      </c>
      <c r="C62" s="112"/>
      <c r="D62" s="81">
        <f>D19</f>
        <v>0</v>
      </c>
      <c r="E62" s="81">
        <f>E19</f>
        <v>0</v>
      </c>
    </row>
    <row r="63" spans="2:5" ht="12.75">
      <c r="B63" s="110"/>
      <c r="C63" s="104"/>
      <c r="D63" s="104"/>
      <c r="E63" s="104"/>
    </row>
    <row r="64" spans="2:5" ht="12.75">
      <c r="B64" s="113" t="s">
        <v>248</v>
      </c>
      <c r="C64" s="114">
        <f>C54+C56-C60+C62</f>
        <v>0</v>
      </c>
      <c r="D64" s="115">
        <f>D54+D56-D60+D62</f>
        <v>417033778.2899997</v>
      </c>
      <c r="E64" s="115">
        <f>E54+E56-E60+E62</f>
        <v>461558736.27999973</v>
      </c>
    </row>
    <row r="65" spans="2:5" ht="12.75">
      <c r="B65" s="113"/>
      <c r="C65" s="116"/>
      <c r="D65" s="117"/>
      <c r="E65" s="117"/>
    </row>
    <row r="66" spans="2:5" ht="25.5">
      <c r="B66" s="118" t="s">
        <v>249</v>
      </c>
      <c r="C66" s="114">
        <f>C64-C56</f>
        <v>0</v>
      </c>
      <c r="D66" s="115">
        <f>D64-D56</f>
        <v>437883413.1099997</v>
      </c>
      <c r="E66" s="115">
        <f>E64-E56</f>
        <v>482408371.0999997</v>
      </c>
    </row>
    <row r="67" spans="2:5" ht="13.5" thickBot="1">
      <c r="B67" s="105"/>
      <c r="C67" s="106"/>
      <c r="D67" s="105"/>
      <c r="E67" s="105"/>
    </row>
    <row r="68" spans="2:5" ht="34.5" customHeight="1" thickBot="1">
      <c r="B68" s="97"/>
      <c r="C68" s="97"/>
      <c r="D68" s="97"/>
      <c r="E68" s="97"/>
    </row>
    <row r="69" spans="2:5" ht="12.75">
      <c r="B69" s="218" t="s">
        <v>231</v>
      </c>
      <c r="C69" s="220" t="s">
        <v>238</v>
      </c>
      <c r="D69" s="222" t="s">
        <v>214</v>
      </c>
      <c r="E69" s="98" t="s">
        <v>215</v>
      </c>
    </row>
    <row r="70" spans="2:5" ht="13.5" thickBot="1">
      <c r="B70" s="219"/>
      <c r="C70" s="221"/>
      <c r="D70" s="223"/>
      <c r="E70" s="99" t="s">
        <v>233</v>
      </c>
    </row>
    <row r="71" spans="2:5" ht="12.75">
      <c r="B71" s="100"/>
      <c r="C71" s="101"/>
      <c r="D71" s="101"/>
      <c r="E71" s="101"/>
    </row>
    <row r="72" spans="2:5" ht="12.75">
      <c r="B72" s="107" t="s">
        <v>220</v>
      </c>
      <c r="C72" s="81">
        <f>C11</f>
        <v>11353166729</v>
      </c>
      <c r="D72" s="81">
        <f>D11</f>
        <v>3578425792.06</v>
      </c>
      <c r="E72" s="81">
        <f>E11</f>
        <v>3578425792.06</v>
      </c>
    </row>
    <row r="73" spans="2:5" ht="12.75">
      <c r="B73" s="107"/>
      <c r="C73" s="104"/>
      <c r="D73" s="108"/>
      <c r="E73" s="108"/>
    </row>
    <row r="74" spans="2:5" ht="25.5">
      <c r="B74" s="119" t="s">
        <v>250</v>
      </c>
      <c r="C74" s="81">
        <f>C75-C76</f>
        <v>-77285736</v>
      </c>
      <c r="D74" s="81">
        <f>D75-D76</f>
        <v>0</v>
      </c>
      <c r="E74" s="81">
        <f>E75-E76</f>
        <v>0</v>
      </c>
    </row>
    <row r="75" spans="2:5" ht="12.75">
      <c r="B75" s="103" t="s">
        <v>241</v>
      </c>
      <c r="C75" s="81">
        <f>C43</f>
        <v>0</v>
      </c>
      <c r="D75" s="81">
        <f>D43</f>
        <v>0</v>
      </c>
      <c r="E75" s="81">
        <f>E43</f>
        <v>0</v>
      </c>
    </row>
    <row r="76" spans="2:5" ht="12.75">
      <c r="B76" s="103" t="s">
        <v>244</v>
      </c>
      <c r="C76" s="81">
        <f>C46</f>
        <v>77285736</v>
      </c>
      <c r="D76" s="81">
        <f>D46</f>
        <v>0</v>
      </c>
      <c r="E76" s="81">
        <f>E46</f>
        <v>0</v>
      </c>
    </row>
    <row r="77" spans="2:5" ht="12.75">
      <c r="B77" s="110"/>
      <c r="C77" s="104"/>
      <c r="D77" s="108"/>
      <c r="E77" s="108"/>
    </row>
    <row r="78" spans="2:5" ht="12.75">
      <c r="B78" s="110" t="s">
        <v>251</v>
      </c>
      <c r="C78" s="81">
        <f>C16</f>
        <v>11275880993</v>
      </c>
      <c r="D78" s="81">
        <f>D16</f>
        <v>2843046973.35</v>
      </c>
      <c r="E78" s="81">
        <f>E16</f>
        <v>2840989607.73</v>
      </c>
    </row>
    <row r="79" spans="2:5" ht="12.75">
      <c r="B79" s="110"/>
      <c r="C79" s="104"/>
      <c r="D79" s="104"/>
      <c r="E79" s="104"/>
    </row>
    <row r="80" spans="2:5" ht="12.75">
      <c r="B80" s="110" t="s">
        <v>227</v>
      </c>
      <c r="C80" s="112"/>
      <c r="D80" s="81">
        <f>D20</f>
        <v>170009024.27</v>
      </c>
      <c r="E80" s="81">
        <f>E20</f>
        <v>168068035.65</v>
      </c>
    </row>
    <row r="81" spans="2:5" ht="12.75">
      <c r="B81" s="110"/>
      <c r="C81" s="104"/>
      <c r="D81" s="104"/>
      <c r="E81" s="104"/>
    </row>
    <row r="82" spans="2:5" ht="12.75">
      <c r="B82" s="113" t="s">
        <v>252</v>
      </c>
      <c r="C82" s="79">
        <f>C72+C74-C78+C80</f>
        <v>0</v>
      </c>
      <c r="D82" s="79">
        <f>D72+D74-D78+D80</f>
        <v>905387842.98</v>
      </c>
      <c r="E82" s="79">
        <f>E72+E74-E78+E80</f>
        <v>905504219.9799999</v>
      </c>
    </row>
    <row r="83" spans="2:5" ht="12.75">
      <c r="B83" s="113"/>
      <c r="C83" s="116"/>
      <c r="D83" s="117"/>
      <c r="E83" s="117"/>
    </row>
    <row r="84" spans="2:5" ht="25.5">
      <c r="B84" s="118" t="s">
        <v>253</v>
      </c>
      <c r="C84" s="79">
        <f>C82-C74</f>
        <v>77285736</v>
      </c>
      <c r="D84" s="79">
        <f>D82-D74</f>
        <v>905387842.98</v>
      </c>
      <c r="E84" s="79">
        <f>E82-E74</f>
        <v>905504219.9799999</v>
      </c>
    </row>
    <row r="85" spans="2:5" ht="13.5" thickBot="1">
      <c r="B85" s="105"/>
      <c r="C85" s="106"/>
      <c r="D85" s="105"/>
      <c r="E85" s="105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0" customWidth="1"/>
    <col min="4" max="4" width="18.00390625" style="1" customWidth="1"/>
    <col min="5" max="5" width="14.7109375" style="120" customWidth="1"/>
    <col min="6" max="6" width="13.8515625" style="1" customWidth="1"/>
    <col min="7" max="7" width="14.8515625" style="1" customWidth="1"/>
    <col min="8" max="8" width="14.8515625" style="120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200" t="s">
        <v>120</v>
      </c>
      <c r="C2" s="201"/>
      <c r="D2" s="201"/>
      <c r="E2" s="201"/>
      <c r="F2" s="201"/>
      <c r="G2" s="201"/>
      <c r="H2" s="202"/>
    </row>
    <row r="3" spans="2:8" ht="12.75">
      <c r="B3" s="225" t="s">
        <v>254</v>
      </c>
      <c r="C3" s="226"/>
      <c r="D3" s="226"/>
      <c r="E3" s="226"/>
      <c r="F3" s="226"/>
      <c r="G3" s="226"/>
      <c r="H3" s="227"/>
    </row>
    <row r="4" spans="2:8" ht="12.75">
      <c r="B4" s="225" t="s">
        <v>125</v>
      </c>
      <c r="C4" s="226"/>
      <c r="D4" s="226"/>
      <c r="E4" s="226"/>
      <c r="F4" s="226"/>
      <c r="G4" s="226"/>
      <c r="H4" s="227"/>
    </row>
    <row r="5" spans="2:8" ht="13.5" thickBot="1">
      <c r="B5" s="228" t="s">
        <v>1</v>
      </c>
      <c r="C5" s="229"/>
      <c r="D5" s="229"/>
      <c r="E5" s="229"/>
      <c r="F5" s="229"/>
      <c r="G5" s="229"/>
      <c r="H5" s="230"/>
    </row>
    <row r="6" spans="2:8" ht="13.5" thickBot="1">
      <c r="B6" s="30"/>
      <c r="C6" s="237" t="s">
        <v>255</v>
      </c>
      <c r="D6" s="238"/>
      <c r="E6" s="238"/>
      <c r="F6" s="238"/>
      <c r="G6" s="239"/>
      <c r="H6" s="235" t="s">
        <v>256</v>
      </c>
    </row>
    <row r="7" spans="2:8" ht="12.75">
      <c r="B7" s="121" t="s">
        <v>231</v>
      </c>
      <c r="C7" s="235" t="s">
        <v>257</v>
      </c>
      <c r="D7" s="233" t="s">
        <v>258</v>
      </c>
      <c r="E7" s="235" t="s">
        <v>259</v>
      </c>
      <c r="F7" s="235" t="s">
        <v>214</v>
      </c>
      <c r="G7" s="235" t="s">
        <v>260</v>
      </c>
      <c r="H7" s="240"/>
    </row>
    <row r="8" spans="2:8" ht="13.5" thickBot="1">
      <c r="B8" s="122" t="s">
        <v>134</v>
      </c>
      <c r="C8" s="236"/>
      <c r="D8" s="234"/>
      <c r="E8" s="236"/>
      <c r="F8" s="236"/>
      <c r="G8" s="236"/>
      <c r="H8" s="236"/>
    </row>
    <row r="9" spans="2:8" ht="12.75">
      <c r="B9" s="102" t="s">
        <v>261</v>
      </c>
      <c r="C9" s="123"/>
      <c r="D9" s="124"/>
      <c r="E9" s="123"/>
      <c r="F9" s="124"/>
      <c r="G9" s="124"/>
      <c r="H9" s="123"/>
    </row>
    <row r="10" spans="2:8" ht="12.75">
      <c r="B10" s="110" t="s">
        <v>262</v>
      </c>
      <c r="C10" s="125">
        <v>675120911</v>
      </c>
      <c r="D10" s="125">
        <v>0</v>
      </c>
      <c r="E10" s="125">
        <f>C10+D10</f>
        <v>675120911</v>
      </c>
      <c r="F10" s="125">
        <v>217864416.29</v>
      </c>
      <c r="G10" s="125">
        <v>217864416.29</v>
      </c>
      <c r="H10" s="125">
        <f>G10-C10</f>
        <v>-457256494.71000004</v>
      </c>
    </row>
    <row r="11" spans="2:8" ht="12.75">
      <c r="B11" s="110" t="s">
        <v>263</v>
      </c>
      <c r="C11" s="125">
        <v>0</v>
      </c>
      <c r="D11" s="125">
        <v>0</v>
      </c>
      <c r="E11" s="125">
        <f aca="true" t="shared" si="0" ref="E11:E40">C11+D11</f>
        <v>0</v>
      </c>
      <c r="F11" s="125">
        <v>0</v>
      </c>
      <c r="G11" s="125">
        <v>0</v>
      </c>
      <c r="H11" s="125">
        <f aca="true" t="shared" si="1" ref="H11:H16">G11-C11</f>
        <v>0</v>
      </c>
    </row>
    <row r="12" spans="2:8" ht="12.75">
      <c r="B12" s="110" t="s">
        <v>264</v>
      </c>
      <c r="C12" s="125">
        <v>0</v>
      </c>
      <c r="D12" s="125">
        <v>0</v>
      </c>
      <c r="E12" s="125">
        <f t="shared" si="0"/>
        <v>0</v>
      </c>
      <c r="F12" s="125">
        <v>0</v>
      </c>
      <c r="G12" s="125">
        <v>0</v>
      </c>
      <c r="H12" s="125">
        <f t="shared" si="1"/>
        <v>0</v>
      </c>
    </row>
    <row r="13" spans="2:8" ht="12.75">
      <c r="B13" s="110" t="s">
        <v>265</v>
      </c>
      <c r="C13" s="125">
        <v>235252402</v>
      </c>
      <c r="D13" s="125">
        <v>0</v>
      </c>
      <c r="E13" s="125">
        <f t="shared" si="0"/>
        <v>235252402</v>
      </c>
      <c r="F13" s="125">
        <v>93610409.11</v>
      </c>
      <c r="G13" s="125">
        <v>93610409.11</v>
      </c>
      <c r="H13" s="125">
        <f t="shared" si="1"/>
        <v>-141641992.89</v>
      </c>
    </row>
    <row r="14" spans="2:8" ht="12.75">
      <c r="B14" s="110" t="s">
        <v>266</v>
      </c>
      <c r="C14" s="125">
        <v>17600513</v>
      </c>
      <c r="D14" s="125">
        <v>0</v>
      </c>
      <c r="E14" s="125">
        <f t="shared" si="0"/>
        <v>17600513</v>
      </c>
      <c r="F14" s="125">
        <v>10458207.96</v>
      </c>
      <c r="G14" s="125">
        <v>10458207.96</v>
      </c>
      <c r="H14" s="125">
        <f t="shared" si="1"/>
        <v>-7142305.039999999</v>
      </c>
    </row>
    <row r="15" spans="2:8" ht="12.75">
      <c r="B15" s="110" t="s">
        <v>267</v>
      </c>
      <c r="C15" s="125">
        <v>129890000</v>
      </c>
      <c r="D15" s="125">
        <v>0</v>
      </c>
      <c r="E15" s="125">
        <f t="shared" si="0"/>
        <v>129890000</v>
      </c>
      <c r="F15" s="125">
        <v>1209040.26</v>
      </c>
      <c r="G15" s="125">
        <v>1209040.26</v>
      </c>
      <c r="H15" s="125">
        <f t="shared" si="1"/>
        <v>-128680959.74</v>
      </c>
    </row>
    <row r="16" spans="2:8" ht="12.75">
      <c r="B16" s="110" t="s">
        <v>268</v>
      </c>
      <c r="C16" s="125">
        <v>112816000</v>
      </c>
      <c r="D16" s="125">
        <v>0</v>
      </c>
      <c r="E16" s="125">
        <f t="shared" si="0"/>
        <v>112816000</v>
      </c>
      <c r="F16" s="125">
        <v>11716158.07</v>
      </c>
      <c r="G16" s="125">
        <v>11716158.07</v>
      </c>
      <c r="H16" s="125">
        <f t="shared" si="1"/>
        <v>-101099841.93</v>
      </c>
    </row>
    <row r="17" spans="2:9" ht="25.5">
      <c r="B17" s="119" t="s">
        <v>269</v>
      </c>
      <c r="C17" s="125">
        <f aca="true" t="shared" si="2" ref="C17:H17">SUM(C18:C28)</f>
        <v>6873058740</v>
      </c>
      <c r="D17" s="125">
        <f t="shared" si="2"/>
        <v>0</v>
      </c>
      <c r="E17" s="125">
        <f t="shared" si="2"/>
        <v>6873058740</v>
      </c>
      <c r="F17" s="125">
        <f t="shared" si="2"/>
        <v>2067657343</v>
      </c>
      <c r="G17" s="125">
        <f>SUM(G18:G28)</f>
        <v>2067657343</v>
      </c>
      <c r="H17" s="125">
        <f t="shared" si="2"/>
        <v>-4805401397</v>
      </c>
      <c r="I17" s="126"/>
    </row>
    <row r="18" spans="2:8" ht="12.75">
      <c r="B18" s="127" t="s">
        <v>270</v>
      </c>
      <c r="C18" s="125">
        <v>5051000000</v>
      </c>
      <c r="D18" s="125">
        <v>0</v>
      </c>
      <c r="E18" s="125">
        <f t="shared" si="0"/>
        <v>5051000000</v>
      </c>
      <c r="F18" s="125">
        <v>1406826445</v>
      </c>
      <c r="G18" s="125">
        <v>1406826445</v>
      </c>
      <c r="H18" s="125">
        <f>G18-C18</f>
        <v>-3644173555</v>
      </c>
    </row>
    <row r="19" spans="2:8" ht="12.75">
      <c r="B19" s="127" t="s">
        <v>271</v>
      </c>
      <c r="C19" s="125">
        <v>466000000</v>
      </c>
      <c r="D19" s="125">
        <v>0</v>
      </c>
      <c r="E19" s="125">
        <f t="shared" si="0"/>
        <v>466000000</v>
      </c>
      <c r="F19" s="125">
        <v>122592757</v>
      </c>
      <c r="G19" s="125">
        <v>122592757</v>
      </c>
      <c r="H19" s="125">
        <f aca="true" t="shared" si="3" ref="H19:H39">G19-C19</f>
        <v>-343407243</v>
      </c>
    </row>
    <row r="20" spans="2:8" ht="12.75">
      <c r="B20" s="127" t="s">
        <v>272</v>
      </c>
      <c r="C20" s="125">
        <v>285000000</v>
      </c>
      <c r="D20" s="125">
        <v>0</v>
      </c>
      <c r="E20" s="125">
        <f t="shared" si="0"/>
        <v>285000000</v>
      </c>
      <c r="F20" s="125">
        <v>64318850</v>
      </c>
      <c r="G20" s="125">
        <v>64318850</v>
      </c>
      <c r="H20" s="125">
        <f t="shared" si="3"/>
        <v>-220681150</v>
      </c>
    </row>
    <row r="21" spans="2:8" ht="12.75">
      <c r="B21" s="127" t="s">
        <v>273</v>
      </c>
      <c r="C21" s="125">
        <v>411000000</v>
      </c>
      <c r="D21" s="125">
        <v>0</v>
      </c>
      <c r="E21" s="125">
        <f t="shared" si="0"/>
        <v>411000000</v>
      </c>
      <c r="F21" s="125">
        <v>99539040</v>
      </c>
      <c r="G21" s="125">
        <v>99539040</v>
      </c>
      <c r="H21" s="125">
        <f t="shared" si="3"/>
        <v>-311460960</v>
      </c>
    </row>
    <row r="22" spans="2:8" ht="12.75">
      <c r="B22" s="127" t="s">
        <v>274</v>
      </c>
      <c r="C22" s="125">
        <v>0</v>
      </c>
      <c r="D22" s="125">
        <v>0</v>
      </c>
      <c r="E22" s="125">
        <f t="shared" si="0"/>
        <v>0</v>
      </c>
      <c r="F22" s="125">
        <v>0</v>
      </c>
      <c r="G22" s="125">
        <v>0</v>
      </c>
      <c r="H22" s="125">
        <f t="shared" si="3"/>
        <v>0</v>
      </c>
    </row>
    <row r="23" spans="2:8" ht="25.5">
      <c r="B23" s="128" t="s">
        <v>275</v>
      </c>
      <c r="C23" s="125">
        <v>92000000</v>
      </c>
      <c r="D23" s="125">
        <v>0</v>
      </c>
      <c r="E23" s="125">
        <f t="shared" si="0"/>
        <v>92000000</v>
      </c>
      <c r="F23" s="125">
        <v>32329118</v>
      </c>
      <c r="G23" s="125">
        <v>32329118</v>
      </c>
      <c r="H23" s="125">
        <f t="shared" si="3"/>
        <v>-59670882</v>
      </c>
    </row>
    <row r="24" spans="2:8" ht="25.5">
      <c r="B24" s="128" t="s">
        <v>276</v>
      </c>
      <c r="C24" s="125">
        <v>0</v>
      </c>
      <c r="D24" s="125">
        <v>0</v>
      </c>
      <c r="E24" s="125">
        <f t="shared" si="0"/>
        <v>0</v>
      </c>
      <c r="F24" s="125">
        <v>0</v>
      </c>
      <c r="G24" s="125">
        <v>0</v>
      </c>
      <c r="H24" s="125">
        <f t="shared" si="3"/>
        <v>0</v>
      </c>
    </row>
    <row r="25" spans="2:8" ht="12.75">
      <c r="B25" s="127" t="s">
        <v>277</v>
      </c>
      <c r="C25" s="125">
        <v>0</v>
      </c>
      <c r="D25" s="125">
        <v>0</v>
      </c>
      <c r="E25" s="125">
        <f t="shared" si="0"/>
        <v>0</v>
      </c>
      <c r="F25" s="125">
        <v>0</v>
      </c>
      <c r="G25" s="125">
        <v>0</v>
      </c>
      <c r="H25" s="125">
        <f t="shared" si="3"/>
        <v>0</v>
      </c>
    </row>
    <row r="26" spans="2:8" ht="12.75">
      <c r="B26" s="127" t="s">
        <v>278</v>
      </c>
      <c r="C26" s="125">
        <v>214058740</v>
      </c>
      <c r="D26" s="125">
        <v>0</v>
      </c>
      <c r="E26" s="125">
        <f t="shared" si="0"/>
        <v>214058740</v>
      </c>
      <c r="F26" s="125">
        <v>60744104</v>
      </c>
      <c r="G26" s="125">
        <v>60744104</v>
      </c>
      <c r="H26" s="125">
        <f t="shared" si="3"/>
        <v>-153314636</v>
      </c>
    </row>
    <row r="27" spans="2:8" ht="12.75">
      <c r="B27" s="127" t="s">
        <v>279</v>
      </c>
      <c r="C27" s="125">
        <v>354000000</v>
      </c>
      <c r="D27" s="125">
        <v>0</v>
      </c>
      <c r="E27" s="125">
        <f t="shared" si="0"/>
        <v>354000000</v>
      </c>
      <c r="F27" s="125">
        <v>281307029</v>
      </c>
      <c r="G27" s="125">
        <v>281307029</v>
      </c>
      <c r="H27" s="125">
        <f t="shared" si="3"/>
        <v>-72692971</v>
      </c>
    </row>
    <row r="28" spans="2:8" ht="25.5">
      <c r="B28" s="128" t="s">
        <v>280</v>
      </c>
      <c r="C28" s="125">
        <v>0</v>
      </c>
      <c r="D28" s="125">
        <v>0</v>
      </c>
      <c r="E28" s="125">
        <f t="shared" si="0"/>
        <v>0</v>
      </c>
      <c r="F28" s="125">
        <v>0</v>
      </c>
      <c r="G28" s="125">
        <v>0</v>
      </c>
      <c r="H28" s="125">
        <f t="shared" si="3"/>
        <v>0</v>
      </c>
    </row>
    <row r="29" spans="2:8" ht="25.5">
      <c r="B29" s="119" t="s">
        <v>281</v>
      </c>
      <c r="C29" s="125">
        <f aca="true" t="shared" si="4" ref="C29:H29">SUM(C30:C34)</f>
        <v>248217301</v>
      </c>
      <c r="D29" s="125">
        <f t="shared" si="4"/>
        <v>0</v>
      </c>
      <c r="E29" s="125">
        <f t="shared" si="4"/>
        <v>248217301</v>
      </c>
      <c r="F29" s="125">
        <f t="shared" si="4"/>
        <v>63773694.39</v>
      </c>
      <c r="G29" s="125">
        <f t="shared" si="4"/>
        <v>63773694.39</v>
      </c>
      <c r="H29" s="125">
        <f t="shared" si="4"/>
        <v>-184443606.61</v>
      </c>
    </row>
    <row r="30" spans="2:8" ht="12.75">
      <c r="B30" s="127" t="s">
        <v>282</v>
      </c>
      <c r="C30" s="125">
        <v>0</v>
      </c>
      <c r="D30" s="125">
        <v>0</v>
      </c>
      <c r="E30" s="125">
        <f t="shared" si="0"/>
        <v>0</v>
      </c>
      <c r="F30" s="125">
        <v>14654</v>
      </c>
      <c r="G30" s="125">
        <v>14654</v>
      </c>
      <c r="H30" s="125">
        <f t="shared" si="3"/>
        <v>14654</v>
      </c>
    </row>
    <row r="31" spans="2:8" ht="12.75">
      <c r="B31" s="127" t="s">
        <v>283</v>
      </c>
      <c r="C31" s="125">
        <v>248217301</v>
      </c>
      <c r="D31" s="125">
        <v>0</v>
      </c>
      <c r="E31" s="125">
        <f t="shared" si="0"/>
        <v>248217301</v>
      </c>
      <c r="F31" s="125">
        <v>2304012</v>
      </c>
      <c r="G31" s="125">
        <v>2304012</v>
      </c>
      <c r="H31" s="125">
        <f t="shared" si="3"/>
        <v>-245913289</v>
      </c>
    </row>
    <row r="32" spans="2:8" ht="12.75">
      <c r="B32" s="127" t="s">
        <v>284</v>
      </c>
      <c r="C32" s="125">
        <v>0</v>
      </c>
      <c r="D32" s="125">
        <v>0</v>
      </c>
      <c r="E32" s="125">
        <f t="shared" si="0"/>
        <v>0</v>
      </c>
      <c r="F32" s="125">
        <v>9263809.04</v>
      </c>
      <c r="G32" s="125">
        <v>9263809.04</v>
      </c>
      <c r="H32" s="125">
        <f t="shared" si="3"/>
        <v>9263809.04</v>
      </c>
    </row>
    <row r="33" spans="2:8" ht="25.5">
      <c r="B33" s="128" t="s">
        <v>285</v>
      </c>
      <c r="C33" s="125">
        <v>0</v>
      </c>
      <c r="D33" s="125">
        <v>0</v>
      </c>
      <c r="E33" s="125">
        <f t="shared" si="0"/>
        <v>0</v>
      </c>
      <c r="F33" s="125">
        <v>3260968</v>
      </c>
      <c r="G33" s="125">
        <v>3260968</v>
      </c>
      <c r="H33" s="125">
        <f t="shared" si="3"/>
        <v>3260968</v>
      </c>
    </row>
    <row r="34" spans="2:9" ht="12.75">
      <c r="B34" s="127" t="s">
        <v>286</v>
      </c>
      <c r="C34" s="125">
        <v>0</v>
      </c>
      <c r="D34" s="125">
        <v>0</v>
      </c>
      <c r="E34" s="125">
        <f t="shared" si="0"/>
        <v>0</v>
      </c>
      <c r="F34" s="125">
        <v>48930251.35</v>
      </c>
      <c r="G34" s="125">
        <v>48930251.35</v>
      </c>
      <c r="H34" s="125">
        <f t="shared" si="3"/>
        <v>48930251.35</v>
      </c>
      <c r="I34" s="126"/>
    </row>
    <row r="35" spans="2:8" ht="12.75">
      <c r="B35" s="110" t="s">
        <v>287</v>
      </c>
      <c r="C35" s="125">
        <v>0</v>
      </c>
      <c r="D35" s="125">
        <v>0</v>
      </c>
      <c r="E35" s="125">
        <f t="shared" si="0"/>
        <v>0</v>
      </c>
      <c r="F35" s="125">
        <v>0</v>
      </c>
      <c r="G35" s="125">
        <v>0</v>
      </c>
      <c r="H35" s="125">
        <f t="shared" si="3"/>
        <v>0</v>
      </c>
    </row>
    <row r="36" spans="2:8" ht="12.75">
      <c r="B36" s="110" t="s">
        <v>288</v>
      </c>
      <c r="C36" s="125">
        <f aca="true" t="shared" si="5" ref="C36:H36">C37</f>
        <v>0</v>
      </c>
      <c r="D36" s="125">
        <f t="shared" si="5"/>
        <v>0</v>
      </c>
      <c r="E36" s="125">
        <f t="shared" si="5"/>
        <v>0</v>
      </c>
      <c r="F36" s="125">
        <f t="shared" si="5"/>
        <v>0</v>
      </c>
      <c r="G36" s="125">
        <f t="shared" si="5"/>
        <v>0</v>
      </c>
      <c r="H36" s="125">
        <f t="shared" si="5"/>
        <v>0</v>
      </c>
    </row>
    <row r="37" spans="2:8" ht="12.75">
      <c r="B37" s="127" t="s">
        <v>289</v>
      </c>
      <c r="C37" s="125">
        <v>0</v>
      </c>
      <c r="D37" s="125">
        <v>0</v>
      </c>
      <c r="E37" s="125">
        <f t="shared" si="0"/>
        <v>0</v>
      </c>
      <c r="F37" s="125">
        <v>0</v>
      </c>
      <c r="G37" s="125">
        <v>0</v>
      </c>
      <c r="H37" s="125">
        <f t="shared" si="3"/>
        <v>0</v>
      </c>
    </row>
    <row r="38" spans="2:8" ht="12.75">
      <c r="B38" s="110" t="s">
        <v>290</v>
      </c>
      <c r="C38" s="125">
        <f aca="true" t="shared" si="6" ref="C38:H38">C39+C40</f>
        <v>0</v>
      </c>
      <c r="D38" s="125">
        <f t="shared" si="6"/>
        <v>0</v>
      </c>
      <c r="E38" s="125">
        <f t="shared" si="6"/>
        <v>0</v>
      </c>
      <c r="F38" s="125">
        <f t="shared" si="6"/>
        <v>0</v>
      </c>
      <c r="G38" s="125">
        <f t="shared" si="6"/>
        <v>0</v>
      </c>
      <c r="H38" s="125">
        <f t="shared" si="6"/>
        <v>0</v>
      </c>
    </row>
    <row r="39" spans="2:8" ht="12.75">
      <c r="B39" s="127" t="s">
        <v>291</v>
      </c>
      <c r="C39" s="125">
        <v>0</v>
      </c>
      <c r="D39" s="125">
        <v>0</v>
      </c>
      <c r="E39" s="125">
        <f t="shared" si="0"/>
        <v>0</v>
      </c>
      <c r="F39" s="125">
        <v>0</v>
      </c>
      <c r="G39" s="125">
        <v>0</v>
      </c>
      <c r="H39" s="125">
        <f t="shared" si="3"/>
        <v>0</v>
      </c>
    </row>
    <row r="40" spans="2:8" ht="12.75">
      <c r="B40" s="127" t="s">
        <v>292</v>
      </c>
      <c r="C40" s="125">
        <v>0</v>
      </c>
      <c r="D40" s="125">
        <v>0</v>
      </c>
      <c r="E40" s="125">
        <f t="shared" si="0"/>
        <v>0</v>
      </c>
      <c r="F40" s="125">
        <v>0</v>
      </c>
      <c r="G40" s="125">
        <v>0</v>
      </c>
      <c r="H40" s="125">
        <f>G40-C40</f>
        <v>0</v>
      </c>
    </row>
    <row r="41" spans="2:8" ht="12.75">
      <c r="B41" s="129"/>
      <c r="C41" s="125"/>
      <c r="D41" s="130"/>
      <c r="E41" s="125"/>
      <c r="F41" s="130"/>
      <c r="G41" s="130"/>
      <c r="H41" s="125"/>
    </row>
    <row r="42" spans="2:8" ht="25.5">
      <c r="B42" s="78" t="s">
        <v>293</v>
      </c>
      <c r="C42" s="131">
        <f aca="true" t="shared" si="7" ref="C42:H42">C10+C11+C12+C13+C14+C15+C16+C17+C29+C35+C36+C38</f>
        <v>8291955867</v>
      </c>
      <c r="D42" s="131">
        <f t="shared" si="7"/>
        <v>0</v>
      </c>
      <c r="E42" s="131">
        <f t="shared" si="7"/>
        <v>8291955867</v>
      </c>
      <c r="F42" s="131">
        <f t="shared" si="7"/>
        <v>2466289269.08</v>
      </c>
      <c r="G42" s="131">
        <f t="shared" si="7"/>
        <v>2466289269.08</v>
      </c>
      <c r="H42" s="131">
        <f t="shared" si="7"/>
        <v>-5825666597.919999</v>
      </c>
    </row>
    <row r="43" spans="2:8" ht="12.75">
      <c r="B43" s="107"/>
      <c r="C43" s="125"/>
      <c r="D43" s="108"/>
      <c r="E43" s="132"/>
      <c r="F43" s="108"/>
      <c r="G43" s="108"/>
      <c r="H43" s="132"/>
    </row>
    <row r="44" spans="2:8" ht="25.5">
      <c r="B44" s="78" t="s">
        <v>294</v>
      </c>
      <c r="C44" s="133"/>
      <c r="D44" s="134"/>
      <c r="E44" s="133"/>
      <c r="F44" s="134"/>
      <c r="G44" s="134"/>
      <c r="H44" s="125"/>
    </row>
    <row r="45" spans="2:8" ht="12.75">
      <c r="B45" s="129"/>
      <c r="C45" s="125"/>
      <c r="D45" s="135"/>
      <c r="E45" s="125"/>
      <c r="F45" s="135"/>
      <c r="G45" s="135"/>
      <c r="H45" s="125"/>
    </row>
    <row r="46" spans="2:8" ht="12.75">
      <c r="B46" s="102" t="s">
        <v>295</v>
      </c>
      <c r="C46" s="125"/>
      <c r="D46" s="130"/>
      <c r="E46" s="125"/>
      <c r="F46" s="130"/>
      <c r="G46" s="130"/>
      <c r="H46" s="125"/>
    </row>
    <row r="47" spans="2:8" ht="12.75">
      <c r="B47" s="110" t="s">
        <v>296</v>
      </c>
      <c r="C47" s="125">
        <f aca="true" t="shared" si="8" ref="C47:H47">SUM(C48:C55)</f>
        <v>8928022841</v>
      </c>
      <c r="D47" s="125">
        <f t="shared" si="8"/>
        <v>0</v>
      </c>
      <c r="E47" s="125">
        <f t="shared" si="8"/>
        <v>8928022841</v>
      </c>
      <c r="F47" s="125">
        <f t="shared" si="8"/>
        <v>2052325401.12</v>
      </c>
      <c r="G47" s="125">
        <f t="shared" si="8"/>
        <v>2052325401.12</v>
      </c>
      <c r="H47" s="125">
        <f t="shared" si="8"/>
        <v>-6875697439.88</v>
      </c>
    </row>
    <row r="48" spans="2:8" ht="25.5">
      <c r="B48" s="128" t="s">
        <v>297</v>
      </c>
      <c r="C48" s="125">
        <v>4925000000</v>
      </c>
      <c r="D48" s="125">
        <v>0</v>
      </c>
      <c r="E48" s="125">
        <f aca="true" t="shared" si="9" ref="E48:E65">C48+D48</f>
        <v>4925000000</v>
      </c>
      <c r="F48" s="125">
        <v>1028541409.41</v>
      </c>
      <c r="G48" s="125">
        <v>1028541409.41</v>
      </c>
      <c r="H48" s="125">
        <f>G48-C48</f>
        <v>-3896458590.59</v>
      </c>
    </row>
    <row r="49" spans="2:8" ht="25.5">
      <c r="B49" s="128" t="s">
        <v>298</v>
      </c>
      <c r="C49" s="125">
        <v>1539000000</v>
      </c>
      <c r="D49" s="125">
        <v>0</v>
      </c>
      <c r="E49" s="125">
        <f t="shared" si="9"/>
        <v>1539000000</v>
      </c>
      <c r="F49" s="125">
        <v>392013703.71</v>
      </c>
      <c r="G49" s="125">
        <v>392013703.71</v>
      </c>
      <c r="H49" s="125">
        <f aca="true" t="shared" si="10" ref="H49:H65">G49-C49</f>
        <v>-1146986296.29</v>
      </c>
    </row>
    <row r="50" spans="2:8" ht="25.5">
      <c r="B50" s="128" t="s">
        <v>299</v>
      </c>
      <c r="C50" s="125">
        <v>665930548</v>
      </c>
      <c r="D50" s="125">
        <v>0</v>
      </c>
      <c r="E50" s="125">
        <f t="shared" si="9"/>
        <v>665930548</v>
      </c>
      <c r="F50" s="125">
        <v>201472374</v>
      </c>
      <c r="G50" s="125">
        <v>201472374</v>
      </c>
      <c r="H50" s="125">
        <f t="shared" si="10"/>
        <v>-464458174</v>
      </c>
    </row>
    <row r="51" spans="2:8" ht="38.25">
      <c r="B51" s="128" t="s">
        <v>300</v>
      </c>
      <c r="C51" s="125">
        <v>683000000</v>
      </c>
      <c r="D51" s="125">
        <v>0</v>
      </c>
      <c r="E51" s="125">
        <f t="shared" si="9"/>
        <v>683000000</v>
      </c>
      <c r="F51" s="125">
        <v>171918078</v>
      </c>
      <c r="G51" s="125">
        <v>171918078</v>
      </c>
      <c r="H51" s="125">
        <f t="shared" si="10"/>
        <v>-511081922</v>
      </c>
    </row>
    <row r="52" spans="2:8" ht="12.75">
      <c r="B52" s="128" t="s">
        <v>301</v>
      </c>
      <c r="C52" s="125">
        <v>443870605</v>
      </c>
      <c r="D52" s="125">
        <v>0</v>
      </c>
      <c r="E52" s="125">
        <f t="shared" si="9"/>
        <v>443870605</v>
      </c>
      <c r="F52" s="125">
        <v>82140921</v>
      </c>
      <c r="G52" s="125">
        <v>82140921</v>
      </c>
      <c r="H52" s="125">
        <f t="shared" si="10"/>
        <v>-361729684</v>
      </c>
    </row>
    <row r="53" spans="2:8" ht="25.5">
      <c r="B53" s="128" t="s">
        <v>302</v>
      </c>
      <c r="C53" s="125">
        <v>100829476</v>
      </c>
      <c r="D53" s="125">
        <v>0</v>
      </c>
      <c r="E53" s="125">
        <f t="shared" si="9"/>
        <v>100829476</v>
      </c>
      <c r="F53" s="125">
        <v>26715519</v>
      </c>
      <c r="G53" s="125">
        <v>26715519</v>
      </c>
      <c r="H53" s="125">
        <f t="shared" si="10"/>
        <v>-74113957</v>
      </c>
    </row>
    <row r="54" spans="2:8" ht="25.5">
      <c r="B54" s="128" t="s">
        <v>303</v>
      </c>
      <c r="C54" s="125">
        <v>120392212</v>
      </c>
      <c r="D54" s="125">
        <v>0</v>
      </c>
      <c r="E54" s="125">
        <f t="shared" si="9"/>
        <v>120392212</v>
      </c>
      <c r="F54" s="125">
        <v>37459617</v>
      </c>
      <c r="G54" s="125">
        <v>37459617</v>
      </c>
      <c r="H54" s="125">
        <f t="shared" si="10"/>
        <v>-82932595</v>
      </c>
    </row>
    <row r="55" spans="2:8" ht="25.5">
      <c r="B55" s="128" t="s">
        <v>304</v>
      </c>
      <c r="C55" s="125">
        <v>450000000</v>
      </c>
      <c r="D55" s="125">
        <v>0</v>
      </c>
      <c r="E55" s="125">
        <f t="shared" si="9"/>
        <v>450000000</v>
      </c>
      <c r="F55" s="125">
        <v>112063779</v>
      </c>
      <c r="G55" s="125">
        <v>112063779</v>
      </c>
      <c r="H55" s="125">
        <f t="shared" si="10"/>
        <v>-337936221</v>
      </c>
    </row>
    <row r="56" spans="2:8" ht="12.75">
      <c r="B56" s="119" t="s">
        <v>305</v>
      </c>
      <c r="C56" s="125">
        <f aca="true" t="shared" si="11" ref="C56:H56">SUM(C57:C60)</f>
        <v>2425143888</v>
      </c>
      <c r="D56" s="125">
        <f t="shared" si="11"/>
        <v>0</v>
      </c>
      <c r="E56" s="125">
        <f t="shared" si="11"/>
        <v>2425143888</v>
      </c>
      <c r="F56" s="125">
        <f t="shared" si="11"/>
        <v>1526100390.94</v>
      </c>
      <c r="G56" s="125">
        <f t="shared" si="11"/>
        <v>1526100390.94</v>
      </c>
      <c r="H56" s="125">
        <f t="shared" si="11"/>
        <v>-899043497.06</v>
      </c>
    </row>
    <row r="57" spans="2:8" ht="12.75">
      <c r="B57" s="128" t="s">
        <v>306</v>
      </c>
      <c r="C57" s="125">
        <v>0</v>
      </c>
      <c r="D57" s="125">
        <v>0</v>
      </c>
      <c r="E57" s="125">
        <f t="shared" si="9"/>
        <v>0</v>
      </c>
      <c r="F57" s="125">
        <v>0</v>
      </c>
      <c r="G57" s="125">
        <v>0</v>
      </c>
      <c r="H57" s="125">
        <f t="shared" si="10"/>
        <v>0</v>
      </c>
    </row>
    <row r="58" spans="2:8" ht="12.75">
      <c r="B58" s="128" t="s">
        <v>307</v>
      </c>
      <c r="C58" s="125">
        <v>0</v>
      </c>
      <c r="D58" s="125">
        <v>0</v>
      </c>
      <c r="E58" s="125">
        <f t="shared" si="9"/>
        <v>0</v>
      </c>
      <c r="F58" s="125">
        <v>0</v>
      </c>
      <c r="G58" s="125">
        <v>0</v>
      </c>
      <c r="H58" s="125">
        <f t="shared" si="10"/>
        <v>0</v>
      </c>
    </row>
    <row r="59" spans="2:8" ht="12.75">
      <c r="B59" s="128" t="s">
        <v>308</v>
      </c>
      <c r="C59" s="125">
        <v>0</v>
      </c>
      <c r="D59" s="125">
        <v>0</v>
      </c>
      <c r="E59" s="125">
        <f t="shared" si="9"/>
        <v>0</v>
      </c>
      <c r="F59" s="125">
        <v>0</v>
      </c>
      <c r="G59" s="125">
        <v>0</v>
      </c>
      <c r="H59" s="125">
        <f t="shared" si="10"/>
        <v>0</v>
      </c>
    </row>
    <row r="60" spans="2:8" ht="12.75">
      <c r="B60" s="128" t="s">
        <v>309</v>
      </c>
      <c r="C60" s="125">
        <v>2425143888</v>
      </c>
      <c r="D60" s="125">
        <v>0</v>
      </c>
      <c r="E60" s="125">
        <f t="shared" si="9"/>
        <v>2425143888</v>
      </c>
      <c r="F60" s="125">
        <v>1526100390.94</v>
      </c>
      <c r="G60" s="125">
        <v>1526100390.94</v>
      </c>
      <c r="H60" s="125">
        <f>G60-C60</f>
        <v>-899043497.06</v>
      </c>
    </row>
    <row r="61" spans="2:8" ht="12.75">
      <c r="B61" s="119" t="s">
        <v>310</v>
      </c>
      <c r="C61" s="125">
        <f aca="true" t="shared" si="12" ref="C61:H61">C62+C63</f>
        <v>0</v>
      </c>
      <c r="D61" s="125">
        <f t="shared" si="12"/>
        <v>0</v>
      </c>
      <c r="E61" s="125">
        <f t="shared" si="12"/>
        <v>0</v>
      </c>
      <c r="F61" s="125">
        <f t="shared" si="12"/>
        <v>0</v>
      </c>
      <c r="G61" s="125">
        <f t="shared" si="12"/>
        <v>0</v>
      </c>
      <c r="H61" s="125">
        <f t="shared" si="12"/>
        <v>0</v>
      </c>
    </row>
    <row r="62" spans="2:8" ht="25.5">
      <c r="B62" s="128" t="s">
        <v>311</v>
      </c>
      <c r="C62" s="125">
        <v>0</v>
      </c>
      <c r="D62" s="125">
        <v>0</v>
      </c>
      <c r="E62" s="125">
        <f t="shared" si="9"/>
        <v>0</v>
      </c>
      <c r="F62" s="125">
        <v>0</v>
      </c>
      <c r="G62" s="125">
        <v>0</v>
      </c>
      <c r="H62" s="125">
        <f t="shared" si="10"/>
        <v>0</v>
      </c>
    </row>
    <row r="63" spans="2:8" ht="12.75">
      <c r="B63" s="128" t="s">
        <v>312</v>
      </c>
      <c r="C63" s="125">
        <v>0</v>
      </c>
      <c r="D63" s="125">
        <v>0</v>
      </c>
      <c r="E63" s="125">
        <f t="shared" si="9"/>
        <v>0</v>
      </c>
      <c r="F63" s="125">
        <v>0</v>
      </c>
      <c r="G63" s="125">
        <v>0</v>
      </c>
      <c r="H63" s="125">
        <f t="shared" si="10"/>
        <v>0</v>
      </c>
    </row>
    <row r="64" spans="2:8" ht="25.5">
      <c r="B64" s="119" t="s">
        <v>313</v>
      </c>
      <c r="C64" s="125">
        <v>0</v>
      </c>
      <c r="D64" s="125">
        <v>0</v>
      </c>
      <c r="E64" s="125">
        <f t="shared" si="9"/>
        <v>0</v>
      </c>
      <c r="F64" s="125">
        <v>0</v>
      </c>
      <c r="G64" s="125">
        <v>0</v>
      </c>
      <c r="H64" s="125">
        <f t="shared" si="10"/>
        <v>0</v>
      </c>
    </row>
    <row r="65" spans="2:8" ht="13.5" thickBot="1">
      <c r="B65" s="136" t="s">
        <v>314</v>
      </c>
      <c r="C65" s="137">
        <v>0</v>
      </c>
      <c r="D65" s="138">
        <v>0</v>
      </c>
      <c r="E65" s="138">
        <f t="shared" si="9"/>
        <v>0</v>
      </c>
      <c r="F65" s="138">
        <v>0</v>
      </c>
      <c r="G65" s="138">
        <v>0</v>
      </c>
      <c r="H65" s="138">
        <f t="shared" si="10"/>
        <v>0</v>
      </c>
    </row>
    <row r="66" spans="2:8" ht="25.5">
      <c r="B66" s="78" t="s">
        <v>315</v>
      </c>
      <c r="C66" s="131">
        <f aca="true" t="shared" si="13" ref="C66:H66">C47+C56+C61+C64+C65</f>
        <v>11353166729</v>
      </c>
      <c r="D66" s="131">
        <f t="shared" si="13"/>
        <v>0</v>
      </c>
      <c r="E66" s="131">
        <f t="shared" si="13"/>
        <v>11353166729</v>
      </c>
      <c r="F66" s="131">
        <f t="shared" si="13"/>
        <v>3578425792.06</v>
      </c>
      <c r="G66" s="131">
        <f t="shared" si="13"/>
        <v>3578425792.06</v>
      </c>
      <c r="H66" s="131">
        <f t="shared" si="13"/>
        <v>-7774740936.940001</v>
      </c>
    </row>
    <row r="67" spans="2:8" ht="12.75">
      <c r="B67" s="139"/>
      <c r="C67" s="125"/>
      <c r="D67" s="135"/>
      <c r="E67" s="125"/>
      <c r="F67" s="135"/>
      <c r="G67" s="135"/>
      <c r="H67" s="125"/>
    </row>
    <row r="68" spans="2:8" ht="25.5">
      <c r="B68" s="78" t="s">
        <v>316</v>
      </c>
      <c r="C68" s="131">
        <f aca="true" t="shared" si="14" ref="C68:H68">C69</f>
        <v>0</v>
      </c>
      <c r="D68" s="131">
        <f t="shared" si="14"/>
        <v>0</v>
      </c>
      <c r="E68" s="131">
        <f t="shared" si="14"/>
        <v>0</v>
      </c>
      <c r="F68" s="131">
        <f t="shared" si="14"/>
        <v>0</v>
      </c>
      <c r="G68" s="131">
        <f t="shared" si="14"/>
        <v>0</v>
      </c>
      <c r="H68" s="131">
        <f t="shared" si="14"/>
        <v>0</v>
      </c>
    </row>
    <row r="69" spans="2:8" ht="12.75">
      <c r="B69" s="139" t="s">
        <v>317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2:8" ht="12.75">
      <c r="B70" s="139"/>
      <c r="C70" s="125"/>
      <c r="D70" s="130"/>
      <c r="E70" s="125"/>
      <c r="F70" s="130"/>
      <c r="G70" s="130"/>
      <c r="H70" s="125"/>
    </row>
    <row r="71" spans="2:8" ht="12.75">
      <c r="B71" s="78" t="s">
        <v>318</v>
      </c>
      <c r="C71" s="131">
        <f aca="true" t="shared" si="15" ref="C71:H71">C42+C66+C68</f>
        <v>19645122596</v>
      </c>
      <c r="D71" s="131">
        <f t="shared" si="15"/>
        <v>0</v>
      </c>
      <c r="E71" s="131">
        <f t="shared" si="15"/>
        <v>19645122596</v>
      </c>
      <c r="F71" s="131">
        <f t="shared" si="15"/>
        <v>6044715061.139999</v>
      </c>
      <c r="G71" s="131">
        <f t="shared" si="15"/>
        <v>6044715061.139999</v>
      </c>
      <c r="H71" s="131">
        <f t="shared" si="15"/>
        <v>-13600407534.86</v>
      </c>
    </row>
    <row r="72" spans="2:8" ht="12.75">
      <c r="B72" s="139"/>
      <c r="C72" s="125"/>
      <c r="D72" s="130"/>
      <c r="E72" s="125"/>
      <c r="F72" s="130"/>
      <c r="G72" s="130"/>
      <c r="H72" s="125"/>
    </row>
    <row r="73" spans="2:8" ht="12.75">
      <c r="B73" s="78" t="s">
        <v>319</v>
      </c>
      <c r="C73" s="125"/>
      <c r="D73" s="130"/>
      <c r="E73" s="125"/>
      <c r="F73" s="130"/>
      <c r="G73" s="130"/>
      <c r="H73" s="125"/>
    </row>
    <row r="74" spans="2:8" ht="25.5">
      <c r="B74" s="139" t="s">
        <v>320</v>
      </c>
      <c r="C74" s="125">
        <v>0</v>
      </c>
      <c r="D74" s="125">
        <v>0</v>
      </c>
      <c r="E74" s="125">
        <f>C74+D74</f>
        <v>0</v>
      </c>
      <c r="F74" s="125">
        <v>0</v>
      </c>
      <c r="G74" s="125">
        <v>0</v>
      </c>
      <c r="H74" s="125">
        <v>0</v>
      </c>
    </row>
    <row r="75" spans="2:8" ht="25.5">
      <c r="B75" s="139" t="s">
        <v>321</v>
      </c>
      <c r="C75" s="125">
        <v>0</v>
      </c>
      <c r="D75" s="125">
        <v>0</v>
      </c>
      <c r="E75" s="125">
        <f>C75+D75</f>
        <v>0</v>
      </c>
      <c r="F75" s="125">
        <v>0</v>
      </c>
      <c r="G75" s="125">
        <v>0</v>
      </c>
      <c r="H75" s="125">
        <v>0</v>
      </c>
    </row>
    <row r="76" spans="2:8" ht="25.5">
      <c r="B76" s="78" t="s">
        <v>322</v>
      </c>
      <c r="C76" s="131">
        <f aca="true" t="shared" si="16" ref="C76:H76">SUM(C74:C75)</f>
        <v>0</v>
      </c>
      <c r="D76" s="131">
        <f t="shared" si="16"/>
        <v>0</v>
      </c>
      <c r="E76" s="131">
        <f t="shared" si="16"/>
        <v>0</v>
      </c>
      <c r="F76" s="131">
        <f t="shared" si="16"/>
        <v>0</v>
      </c>
      <c r="G76" s="131">
        <f t="shared" si="16"/>
        <v>0</v>
      </c>
      <c r="H76" s="131">
        <f t="shared" si="16"/>
        <v>0</v>
      </c>
    </row>
    <row r="77" spans="2:8" ht="13.5" thickBot="1">
      <c r="B77" s="140"/>
      <c r="C77" s="141"/>
      <c r="D77" s="142"/>
      <c r="E77" s="141"/>
      <c r="F77" s="142"/>
      <c r="G77" s="142"/>
      <c r="H77" s="141"/>
    </row>
    <row r="80" ht="12.75">
      <c r="C80" s="14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ignoredErrors>
    <ignoredError sqref="E17 H17 E36:E38 H36:H38 E56:E61 H56:H61" formula="1"/>
    <ignoredError sqref="C29:D29 F29:G29" formulaRange="1"/>
    <ignoredError sqref="H29 E2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5.5742187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00" t="s">
        <v>120</v>
      </c>
      <c r="C2" s="201"/>
      <c r="D2" s="201"/>
      <c r="E2" s="201"/>
      <c r="F2" s="201"/>
      <c r="G2" s="201"/>
      <c r="H2" s="201"/>
      <c r="I2" s="241"/>
    </row>
    <row r="3" spans="2:9" ht="12.75">
      <c r="B3" s="225" t="s">
        <v>323</v>
      </c>
      <c r="C3" s="226"/>
      <c r="D3" s="226"/>
      <c r="E3" s="226"/>
      <c r="F3" s="226"/>
      <c r="G3" s="226"/>
      <c r="H3" s="226"/>
      <c r="I3" s="242"/>
    </row>
    <row r="4" spans="2:9" ht="12.75">
      <c r="B4" s="225" t="s">
        <v>324</v>
      </c>
      <c r="C4" s="226"/>
      <c r="D4" s="226"/>
      <c r="E4" s="226"/>
      <c r="F4" s="226"/>
      <c r="G4" s="226"/>
      <c r="H4" s="226"/>
      <c r="I4" s="242"/>
    </row>
    <row r="5" spans="2:9" ht="12.75">
      <c r="B5" s="225" t="s">
        <v>125</v>
      </c>
      <c r="C5" s="226"/>
      <c r="D5" s="226"/>
      <c r="E5" s="226"/>
      <c r="F5" s="226"/>
      <c r="G5" s="226"/>
      <c r="H5" s="226"/>
      <c r="I5" s="242"/>
    </row>
    <row r="6" spans="2:9" ht="13.5" thickBot="1">
      <c r="B6" s="228" t="s">
        <v>1</v>
      </c>
      <c r="C6" s="229"/>
      <c r="D6" s="229"/>
      <c r="E6" s="229"/>
      <c r="F6" s="229"/>
      <c r="G6" s="229"/>
      <c r="H6" s="229"/>
      <c r="I6" s="243"/>
    </row>
    <row r="7" spans="2:9" ht="15.75" customHeight="1">
      <c r="B7" s="200" t="s">
        <v>2</v>
      </c>
      <c r="C7" s="202"/>
      <c r="D7" s="200" t="s">
        <v>325</v>
      </c>
      <c r="E7" s="201"/>
      <c r="F7" s="201"/>
      <c r="G7" s="201"/>
      <c r="H7" s="202"/>
      <c r="I7" s="235" t="s">
        <v>326</v>
      </c>
    </row>
    <row r="8" spans="2:9" ht="15" customHeight="1" thickBot="1">
      <c r="B8" s="225"/>
      <c r="C8" s="227"/>
      <c r="D8" s="228"/>
      <c r="E8" s="229"/>
      <c r="F8" s="229"/>
      <c r="G8" s="229"/>
      <c r="H8" s="230"/>
      <c r="I8" s="240"/>
    </row>
    <row r="9" spans="2:9" ht="26.25" thickBot="1">
      <c r="B9" s="228"/>
      <c r="C9" s="230"/>
      <c r="D9" s="144" t="s">
        <v>216</v>
      </c>
      <c r="E9" s="32" t="s">
        <v>327</v>
      </c>
      <c r="F9" s="144" t="s">
        <v>328</v>
      </c>
      <c r="G9" s="144" t="s">
        <v>214</v>
      </c>
      <c r="H9" s="144" t="s">
        <v>217</v>
      </c>
      <c r="I9" s="236"/>
    </row>
    <row r="10" spans="2:9" ht="12.75">
      <c r="B10" s="145" t="s">
        <v>329</v>
      </c>
      <c r="C10" s="146"/>
      <c r="D10" s="147">
        <f aca="true" t="shared" si="0" ref="D10:I10">D11+D19+D29+D39+D49+D59+D72+D76+D63</f>
        <v>8291955866.999999</v>
      </c>
      <c r="E10" s="147">
        <f t="shared" si="0"/>
        <v>-2.60770320892334E-08</v>
      </c>
      <c r="F10" s="147">
        <f t="shared" si="0"/>
        <v>8291955867</v>
      </c>
      <c r="G10" s="147">
        <f t="shared" si="0"/>
        <v>2049255490.79</v>
      </c>
      <c r="H10" s="147">
        <f t="shared" si="0"/>
        <v>2004730532.7999995</v>
      </c>
      <c r="I10" s="147">
        <f t="shared" si="0"/>
        <v>6242700376.210001</v>
      </c>
    </row>
    <row r="11" spans="2:9" ht="12.75">
      <c r="B11" s="148" t="s">
        <v>330</v>
      </c>
      <c r="C11" s="149"/>
      <c r="D11" s="132">
        <f aca="true" t="shared" si="1" ref="D11:I11">SUM(D12:D18)</f>
        <v>3025486003.109999</v>
      </c>
      <c r="E11" s="132">
        <f>SUM(E12:E18)</f>
        <v>-34203545.67000001</v>
      </c>
      <c r="F11" s="132">
        <f t="shared" si="1"/>
        <v>2991282457.4400005</v>
      </c>
      <c r="G11" s="132">
        <f>SUM(G12:G18)</f>
        <v>544765257.3100001</v>
      </c>
      <c r="H11" s="132">
        <f>SUM(H12:H18)</f>
        <v>543120188.89</v>
      </c>
      <c r="I11" s="132">
        <f t="shared" si="1"/>
        <v>2446517200.1300006</v>
      </c>
    </row>
    <row r="12" spans="2:9" ht="12.75">
      <c r="B12" s="150" t="s">
        <v>331</v>
      </c>
      <c r="C12" s="151"/>
      <c r="D12" s="132">
        <v>1198915235.18</v>
      </c>
      <c r="E12" s="132">
        <v>-3371288.3500000015</v>
      </c>
      <c r="F12" s="132">
        <f>D12+E12</f>
        <v>1195543946.8300002</v>
      </c>
      <c r="G12" s="132">
        <v>263391665.49</v>
      </c>
      <c r="H12" s="132">
        <v>263391665.49</v>
      </c>
      <c r="I12" s="132">
        <f>F12-G12</f>
        <v>932152281.3400002</v>
      </c>
    </row>
    <row r="13" spans="2:9" ht="12.75">
      <c r="B13" s="150" t="s">
        <v>332</v>
      </c>
      <c r="C13" s="151"/>
      <c r="D13" s="132">
        <v>79923307.82</v>
      </c>
      <c r="E13" s="132">
        <v>6085873.68</v>
      </c>
      <c r="F13" s="132">
        <f aca="true" t="shared" si="2" ref="F13:F18">D13+E13</f>
        <v>86009181.5</v>
      </c>
      <c r="G13" s="132">
        <v>22900956.59</v>
      </c>
      <c r="H13" s="132">
        <v>22251965.599999998</v>
      </c>
      <c r="I13" s="132">
        <f aca="true" t="shared" si="3" ref="I13:I18">F13-G13</f>
        <v>63108224.91</v>
      </c>
    </row>
    <row r="14" spans="2:9" ht="12.75">
      <c r="B14" s="150" t="s">
        <v>333</v>
      </c>
      <c r="C14" s="151"/>
      <c r="D14" s="132">
        <v>532705740.84</v>
      </c>
      <c r="E14" s="132">
        <v>9432809.260000002</v>
      </c>
      <c r="F14" s="132">
        <f t="shared" si="2"/>
        <v>542138550.1</v>
      </c>
      <c r="G14" s="132">
        <v>68430771.29</v>
      </c>
      <c r="H14" s="132">
        <v>68430771.28999999</v>
      </c>
      <c r="I14" s="132">
        <f t="shared" si="3"/>
        <v>473707778.81</v>
      </c>
    </row>
    <row r="15" spans="2:9" ht="12.75">
      <c r="B15" s="150" t="s">
        <v>334</v>
      </c>
      <c r="C15" s="151"/>
      <c r="D15" s="132">
        <v>391465641.63</v>
      </c>
      <c r="E15" s="132">
        <v>-36744537.67</v>
      </c>
      <c r="F15" s="132">
        <f t="shared" si="2"/>
        <v>354721103.96</v>
      </c>
      <c r="G15" s="132">
        <v>76053078.49000001</v>
      </c>
      <c r="H15" s="132">
        <v>75554659.3</v>
      </c>
      <c r="I15" s="132">
        <f t="shared" si="3"/>
        <v>278668025.46999997</v>
      </c>
    </row>
    <row r="16" spans="2:9" ht="12.75">
      <c r="B16" s="150" t="s">
        <v>335</v>
      </c>
      <c r="C16" s="151"/>
      <c r="D16" s="132">
        <v>646715334.51</v>
      </c>
      <c r="E16" s="132">
        <v>-2962260.040000003</v>
      </c>
      <c r="F16" s="132">
        <f t="shared" si="2"/>
        <v>643753074.47</v>
      </c>
      <c r="G16" s="132">
        <v>98350908.56</v>
      </c>
      <c r="H16" s="132">
        <v>98350908.56</v>
      </c>
      <c r="I16" s="132">
        <f t="shared" si="3"/>
        <v>545402165.9100001</v>
      </c>
    </row>
    <row r="17" spans="2:9" ht="12.75">
      <c r="B17" s="150" t="s">
        <v>336</v>
      </c>
      <c r="C17" s="151"/>
      <c r="D17" s="132">
        <v>55262454.74</v>
      </c>
      <c r="E17" s="132">
        <v>-8082729.24</v>
      </c>
      <c r="F17" s="132">
        <f t="shared" si="2"/>
        <v>47179725.5</v>
      </c>
      <c r="G17" s="132">
        <v>0</v>
      </c>
      <c r="H17" s="132">
        <v>0</v>
      </c>
      <c r="I17" s="132">
        <f t="shared" si="3"/>
        <v>47179725.5</v>
      </c>
    </row>
    <row r="18" spans="2:9" ht="12.75">
      <c r="B18" s="150" t="s">
        <v>337</v>
      </c>
      <c r="C18" s="151"/>
      <c r="D18" s="132">
        <v>120498288.39</v>
      </c>
      <c r="E18" s="132">
        <v>1438586.69</v>
      </c>
      <c r="F18" s="132">
        <f t="shared" si="2"/>
        <v>121936875.08</v>
      </c>
      <c r="G18" s="132">
        <v>15637876.889999999</v>
      </c>
      <c r="H18" s="132">
        <v>15140218.649999999</v>
      </c>
      <c r="I18" s="132">
        <f t="shared" si="3"/>
        <v>106298998.19</v>
      </c>
    </row>
    <row r="19" spans="2:9" ht="12.75">
      <c r="B19" s="148" t="s">
        <v>338</v>
      </c>
      <c r="C19" s="149"/>
      <c r="D19" s="132">
        <f aca="true" t="shared" si="4" ref="D19:I19">SUM(D20:D28)</f>
        <v>188623959.57</v>
      </c>
      <c r="E19" s="132">
        <f t="shared" si="4"/>
        <v>-593589.7200000001</v>
      </c>
      <c r="F19" s="132">
        <f t="shared" si="4"/>
        <v>188030369.85</v>
      </c>
      <c r="G19" s="132">
        <f>SUM(G20:G28)</f>
        <v>27251422.060000002</v>
      </c>
      <c r="H19" s="132">
        <f>SUM(H20:H28)</f>
        <v>20362016.5</v>
      </c>
      <c r="I19" s="132">
        <f t="shared" si="4"/>
        <v>160778947.79</v>
      </c>
    </row>
    <row r="20" spans="2:9" ht="12.75">
      <c r="B20" s="150" t="s">
        <v>339</v>
      </c>
      <c r="C20" s="151"/>
      <c r="D20" s="132">
        <v>48987633.26</v>
      </c>
      <c r="E20" s="132">
        <v>702031.6799999999</v>
      </c>
      <c r="F20" s="132">
        <f aca="true" t="shared" si="5" ref="F20:F28">D20+E20</f>
        <v>49689664.94</v>
      </c>
      <c r="G20" s="132">
        <v>2126120.09</v>
      </c>
      <c r="H20" s="132">
        <v>2126120.09</v>
      </c>
      <c r="I20" s="132">
        <f>F20-G20</f>
        <v>47563544.849999994</v>
      </c>
    </row>
    <row r="21" spans="2:9" ht="12.75">
      <c r="B21" s="150" t="s">
        <v>340</v>
      </c>
      <c r="C21" s="151"/>
      <c r="D21" s="132">
        <v>21551927.79</v>
      </c>
      <c r="E21" s="132">
        <v>188020</v>
      </c>
      <c r="F21" s="132">
        <f t="shared" si="5"/>
        <v>21739947.79</v>
      </c>
      <c r="G21" s="132">
        <v>8369000.16</v>
      </c>
      <c r="H21" s="132">
        <v>8369000.16</v>
      </c>
      <c r="I21" s="132">
        <f aca="true" t="shared" si="6" ref="I21:I83">F21-G21</f>
        <v>13370947.629999999</v>
      </c>
    </row>
    <row r="22" spans="2:9" ht="12.75">
      <c r="B22" s="150" t="s">
        <v>341</v>
      </c>
      <c r="C22" s="151"/>
      <c r="D22" s="132">
        <v>238052</v>
      </c>
      <c r="E22" s="132">
        <v>0</v>
      </c>
      <c r="F22" s="132">
        <f t="shared" si="5"/>
        <v>238052</v>
      </c>
      <c r="G22" s="132">
        <v>0</v>
      </c>
      <c r="H22" s="132">
        <v>0</v>
      </c>
      <c r="I22" s="132">
        <f t="shared" si="6"/>
        <v>238052</v>
      </c>
    </row>
    <row r="23" spans="2:9" ht="12.75">
      <c r="B23" s="150" t="s">
        <v>342</v>
      </c>
      <c r="C23" s="151"/>
      <c r="D23" s="132">
        <v>8656237.45</v>
      </c>
      <c r="E23" s="132">
        <v>538392.23</v>
      </c>
      <c r="F23" s="132">
        <f t="shared" si="5"/>
        <v>9194629.68</v>
      </c>
      <c r="G23" s="132">
        <v>868038.55</v>
      </c>
      <c r="H23" s="132">
        <v>868038.55</v>
      </c>
      <c r="I23" s="132">
        <f t="shared" si="6"/>
        <v>8326591.13</v>
      </c>
    </row>
    <row r="24" spans="2:9" ht="12.75">
      <c r="B24" s="150" t="s">
        <v>343</v>
      </c>
      <c r="C24" s="151"/>
      <c r="D24" s="132">
        <v>4405353.39</v>
      </c>
      <c r="E24" s="132">
        <v>-57020</v>
      </c>
      <c r="F24" s="132">
        <f t="shared" si="5"/>
        <v>4348333.39</v>
      </c>
      <c r="G24" s="132">
        <v>0</v>
      </c>
      <c r="H24" s="132">
        <v>0</v>
      </c>
      <c r="I24" s="132">
        <f t="shared" si="6"/>
        <v>4348333.39</v>
      </c>
    </row>
    <row r="25" spans="2:9" ht="12.75">
      <c r="B25" s="150" t="s">
        <v>344</v>
      </c>
      <c r="C25" s="151"/>
      <c r="D25" s="132">
        <v>81688346.83</v>
      </c>
      <c r="E25" s="132">
        <v>-1522788</v>
      </c>
      <c r="F25" s="132">
        <f t="shared" si="5"/>
        <v>80165558.83</v>
      </c>
      <c r="G25" s="132">
        <v>14015967.02</v>
      </c>
      <c r="H25" s="132">
        <v>7126561.46</v>
      </c>
      <c r="I25" s="132">
        <f t="shared" si="6"/>
        <v>66149591.81</v>
      </c>
    </row>
    <row r="26" spans="2:9" ht="12.75">
      <c r="B26" s="150" t="s">
        <v>345</v>
      </c>
      <c r="C26" s="151"/>
      <c r="D26" s="132">
        <v>8568944.28</v>
      </c>
      <c r="E26" s="132">
        <v>-372809.9</v>
      </c>
      <c r="F26" s="132">
        <f t="shared" si="5"/>
        <v>8196134.379999999</v>
      </c>
      <c r="G26" s="132">
        <v>486462.32</v>
      </c>
      <c r="H26" s="132">
        <v>486462.32</v>
      </c>
      <c r="I26" s="132">
        <f t="shared" si="6"/>
        <v>7709672.059999999</v>
      </c>
    </row>
    <row r="27" spans="2:9" ht="12.75">
      <c r="B27" s="150" t="s">
        <v>346</v>
      </c>
      <c r="C27" s="151"/>
      <c r="D27" s="132">
        <v>68300</v>
      </c>
      <c r="E27" s="132">
        <v>-15000</v>
      </c>
      <c r="F27" s="132">
        <f t="shared" si="5"/>
        <v>53300</v>
      </c>
      <c r="G27" s="132">
        <v>0</v>
      </c>
      <c r="H27" s="132">
        <v>0</v>
      </c>
      <c r="I27" s="132">
        <f t="shared" si="6"/>
        <v>53300</v>
      </c>
    </row>
    <row r="28" spans="2:9" ht="12.75">
      <c r="B28" s="150" t="s">
        <v>347</v>
      </c>
      <c r="C28" s="151"/>
      <c r="D28" s="132">
        <v>14459164.57</v>
      </c>
      <c r="E28" s="132">
        <v>-54415.73</v>
      </c>
      <c r="F28" s="132">
        <f t="shared" si="5"/>
        <v>14404748.84</v>
      </c>
      <c r="G28" s="132">
        <v>1385833.92</v>
      </c>
      <c r="H28" s="132">
        <v>1385833.92</v>
      </c>
      <c r="I28" s="132">
        <f t="shared" si="6"/>
        <v>13018914.92</v>
      </c>
    </row>
    <row r="29" spans="2:9" ht="12.75">
      <c r="B29" s="148" t="s">
        <v>348</v>
      </c>
      <c r="C29" s="149"/>
      <c r="D29" s="152">
        <f aca="true" t="shared" si="7" ref="D29:I29">SUM(D30:D38)</f>
        <v>224402879.60000002</v>
      </c>
      <c r="E29" s="152">
        <f t="shared" si="7"/>
        <v>1481574.7100000007</v>
      </c>
      <c r="F29" s="152">
        <f t="shared" si="7"/>
        <v>225884454.31</v>
      </c>
      <c r="G29" s="152">
        <f>SUM(G30:G38)</f>
        <v>67530261.07000001</v>
      </c>
      <c r="H29" s="152">
        <f>SUM(H30:H38)</f>
        <v>65239735.739999995</v>
      </c>
      <c r="I29" s="152">
        <f t="shared" si="7"/>
        <v>158354193.24</v>
      </c>
    </row>
    <row r="30" spans="2:9" ht="12.75">
      <c r="B30" s="150" t="s">
        <v>349</v>
      </c>
      <c r="C30" s="151"/>
      <c r="D30" s="132">
        <v>33629570.94</v>
      </c>
      <c r="E30" s="132">
        <v>-294010</v>
      </c>
      <c r="F30" s="132">
        <f aca="true" t="shared" si="8" ref="F30:F38">D30+E30</f>
        <v>33335560.939999998</v>
      </c>
      <c r="G30" s="132">
        <v>5652071.38</v>
      </c>
      <c r="H30" s="132">
        <v>4893140.31</v>
      </c>
      <c r="I30" s="132">
        <f t="shared" si="6"/>
        <v>27683489.56</v>
      </c>
    </row>
    <row r="31" spans="2:9" ht="12.75">
      <c r="B31" s="150" t="s">
        <v>350</v>
      </c>
      <c r="C31" s="151"/>
      <c r="D31" s="132">
        <v>30136959.38</v>
      </c>
      <c r="E31" s="132">
        <v>2606724.36</v>
      </c>
      <c r="F31" s="132">
        <f t="shared" si="8"/>
        <v>32743683.74</v>
      </c>
      <c r="G31" s="132">
        <v>4947900.43</v>
      </c>
      <c r="H31" s="132">
        <v>4947900.43</v>
      </c>
      <c r="I31" s="132">
        <f t="shared" si="6"/>
        <v>27795783.31</v>
      </c>
    </row>
    <row r="32" spans="2:9" ht="12.75">
      <c r="B32" s="150" t="s">
        <v>351</v>
      </c>
      <c r="C32" s="151"/>
      <c r="D32" s="132">
        <v>23440546.25</v>
      </c>
      <c r="E32" s="132">
        <v>404420</v>
      </c>
      <c r="F32" s="132">
        <f t="shared" si="8"/>
        <v>23844966.25</v>
      </c>
      <c r="G32" s="132">
        <v>844739.45</v>
      </c>
      <c r="H32" s="132">
        <v>844739.45</v>
      </c>
      <c r="I32" s="132">
        <f t="shared" si="6"/>
        <v>23000226.8</v>
      </c>
    </row>
    <row r="33" spans="2:9" ht="12.75">
      <c r="B33" s="150" t="s">
        <v>352</v>
      </c>
      <c r="C33" s="151"/>
      <c r="D33" s="132">
        <v>30378240.14</v>
      </c>
      <c r="E33" s="132">
        <v>-6500</v>
      </c>
      <c r="F33" s="152">
        <f t="shared" si="8"/>
        <v>30371740.14</v>
      </c>
      <c r="G33" s="132">
        <v>29527774.52</v>
      </c>
      <c r="H33" s="132">
        <v>29527774.52</v>
      </c>
      <c r="I33" s="153">
        <f t="shared" si="6"/>
        <v>843965.620000001</v>
      </c>
    </row>
    <row r="34" spans="2:9" ht="12.75">
      <c r="B34" s="150" t="s">
        <v>353</v>
      </c>
      <c r="C34" s="151"/>
      <c r="D34" s="132">
        <v>8974137.89</v>
      </c>
      <c r="E34" s="132">
        <v>-103009.3599999994</v>
      </c>
      <c r="F34" s="132">
        <f t="shared" si="8"/>
        <v>8871128.530000001</v>
      </c>
      <c r="G34" s="132">
        <v>521385.2100000009</v>
      </c>
      <c r="H34" s="132">
        <v>521385.2100000009</v>
      </c>
      <c r="I34" s="132">
        <f t="shared" si="6"/>
        <v>8349743.32</v>
      </c>
    </row>
    <row r="35" spans="2:9" ht="12.75">
      <c r="B35" s="150" t="s">
        <v>354</v>
      </c>
      <c r="C35" s="151"/>
      <c r="D35" s="132">
        <v>30390919.34</v>
      </c>
      <c r="E35" s="132">
        <v>161200</v>
      </c>
      <c r="F35" s="132">
        <f t="shared" si="8"/>
        <v>30552119.34</v>
      </c>
      <c r="G35" s="132">
        <v>19747209.57</v>
      </c>
      <c r="H35" s="132">
        <v>19216809.57</v>
      </c>
      <c r="I35" s="132">
        <f t="shared" si="6"/>
        <v>10804909.77</v>
      </c>
    </row>
    <row r="36" spans="2:9" ht="12.75">
      <c r="B36" s="150" t="s">
        <v>355</v>
      </c>
      <c r="C36" s="151"/>
      <c r="D36" s="132">
        <v>22228258.86</v>
      </c>
      <c r="E36" s="132">
        <v>-188018.99</v>
      </c>
      <c r="F36" s="132">
        <f t="shared" si="8"/>
        <v>22040239.87</v>
      </c>
      <c r="G36" s="132">
        <v>231082.63</v>
      </c>
      <c r="H36" s="132">
        <v>184638.37</v>
      </c>
      <c r="I36" s="132">
        <f t="shared" si="6"/>
        <v>21809157.240000002</v>
      </c>
    </row>
    <row r="37" spans="2:9" ht="12.75">
      <c r="B37" s="150" t="s">
        <v>356</v>
      </c>
      <c r="C37" s="151"/>
      <c r="D37" s="132">
        <v>14400856.4</v>
      </c>
      <c r="E37" s="132">
        <v>-850727.3</v>
      </c>
      <c r="F37" s="132">
        <f t="shared" si="8"/>
        <v>13550129.1</v>
      </c>
      <c r="G37" s="132">
        <v>4369790.42</v>
      </c>
      <c r="H37" s="132">
        <v>3415040.42</v>
      </c>
      <c r="I37" s="132">
        <f t="shared" si="6"/>
        <v>9180338.68</v>
      </c>
    </row>
    <row r="38" spans="2:9" ht="12.75">
      <c r="B38" s="150" t="s">
        <v>357</v>
      </c>
      <c r="C38" s="151"/>
      <c r="D38" s="132">
        <v>30823390.4</v>
      </c>
      <c r="E38" s="132">
        <v>-248504</v>
      </c>
      <c r="F38" s="132">
        <f t="shared" si="8"/>
        <v>30574886.4</v>
      </c>
      <c r="G38" s="132">
        <v>1688307.46</v>
      </c>
      <c r="H38" s="132">
        <v>1688307.46</v>
      </c>
      <c r="I38" s="132">
        <f t="shared" si="6"/>
        <v>28886578.939999998</v>
      </c>
    </row>
    <row r="39" spans="2:9" ht="25.5" customHeight="1">
      <c r="B39" s="244" t="s">
        <v>358</v>
      </c>
      <c r="C39" s="245"/>
      <c r="D39" s="132">
        <f aca="true" t="shared" si="9" ref="D39:I39">SUM(D40:D48)</f>
        <v>2560859438.0199995</v>
      </c>
      <c r="E39" s="132">
        <f t="shared" si="9"/>
        <v>65038545.66</v>
      </c>
      <c r="F39" s="132">
        <f>SUM(F40:F48)</f>
        <v>2625897983.6799994</v>
      </c>
      <c r="G39" s="132">
        <f>SUM(G40:G48)</f>
        <v>746004183.9599999</v>
      </c>
      <c r="H39" s="132">
        <f>SUM(H40:H48)</f>
        <v>717791965.1599996</v>
      </c>
      <c r="I39" s="132">
        <f t="shared" si="9"/>
        <v>1879893799.72</v>
      </c>
    </row>
    <row r="40" spans="2:9" ht="12.75">
      <c r="B40" s="150" t="s">
        <v>359</v>
      </c>
      <c r="C40" s="151"/>
      <c r="D40" s="132">
        <v>2100282307.6599998</v>
      </c>
      <c r="E40" s="132">
        <v>45835000</v>
      </c>
      <c r="F40" s="132">
        <f>D40+E40</f>
        <v>2146117307.6599998</v>
      </c>
      <c r="G40" s="132">
        <v>654997084.6999998</v>
      </c>
      <c r="H40" s="132">
        <v>634342249.8999996</v>
      </c>
      <c r="I40" s="132">
        <f t="shared" si="6"/>
        <v>1491120222.96</v>
      </c>
    </row>
    <row r="41" spans="2:9" ht="12.75">
      <c r="B41" s="150" t="s">
        <v>360</v>
      </c>
      <c r="C41" s="151"/>
      <c r="D41" s="132">
        <v>143537495</v>
      </c>
      <c r="E41" s="132">
        <v>0</v>
      </c>
      <c r="F41" s="132">
        <f aca="true" t="shared" si="10" ref="F41:F83">D41+E41</f>
        <v>143537495</v>
      </c>
      <c r="G41" s="132">
        <v>27632470.97</v>
      </c>
      <c r="H41" s="132">
        <v>20495525.77</v>
      </c>
      <c r="I41" s="132">
        <f t="shared" si="6"/>
        <v>115905024.03</v>
      </c>
    </row>
    <row r="42" spans="2:9" ht="12.75">
      <c r="B42" s="150" t="s">
        <v>361</v>
      </c>
      <c r="C42" s="151"/>
      <c r="D42" s="132">
        <v>5059324.31</v>
      </c>
      <c r="E42" s="132">
        <v>1100000</v>
      </c>
      <c r="F42" s="132">
        <f t="shared" si="10"/>
        <v>6159324.31</v>
      </c>
      <c r="G42" s="132">
        <v>2500000</v>
      </c>
      <c r="H42" s="132">
        <v>2500000</v>
      </c>
      <c r="I42" s="132">
        <f t="shared" si="6"/>
        <v>3659324.3099999996</v>
      </c>
    </row>
    <row r="43" spans="2:9" ht="12.75">
      <c r="B43" s="150" t="s">
        <v>362</v>
      </c>
      <c r="C43" s="151"/>
      <c r="D43" s="132">
        <v>132473311.06</v>
      </c>
      <c r="E43" s="132">
        <v>18103545.66</v>
      </c>
      <c r="F43" s="132">
        <f t="shared" si="10"/>
        <v>150576856.72</v>
      </c>
      <c r="G43" s="132">
        <v>15035091.07</v>
      </c>
      <c r="H43" s="132">
        <v>14614652.27</v>
      </c>
      <c r="I43" s="132">
        <f t="shared" si="6"/>
        <v>135541765.65</v>
      </c>
    </row>
    <row r="44" spans="2:9" ht="12.75">
      <c r="B44" s="150" t="s">
        <v>363</v>
      </c>
      <c r="C44" s="151"/>
      <c r="D44" s="132">
        <v>178476999.99</v>
      </c>
      <c r="E44" s="132">
        <v>0</v>
      </c>
      <c r="F44" s="132">
        <f t="shared" si="10"/>
        <v>178476999.99</v>
      </c>
      <c r="G44" s="132">
        <v>45089537.22</v>
      </c>
      <c r="H44" s="132">
        <v>45089537.22</v>
      </c>
      <c r="I44" s="132">
        <f t="shared" si="6"/>
        <v>133387462.77000001</v>
      </c>
    </row>
    <row r="45" spans="2:9" ht="12.75">
      <c r="B45" s="150" t="s">
        <v>364</v>
      </c>
      <c r="C45" s="151"/>
      <c r="D45" s="132">
        <v>0</v>
      </c>
      <c r="E45" s="132">
        <v>0</v>
      </c>
      <c r="F45" s="132">
        <f t="shared" si="10"/>
        <v>0</v>
      </c>
      <c r="G45" s="132">
        <v>0</v>
      </c>
      <c r="H45" s="132">
        <v>0</v>
      </c>
      <c r="I45" s="132">
        <f t="shared" si="6"/>
        <v>0</v>
      </c>
    </row>
    <row r="46" spans="2:9" ht="12.75">
      <c r="B46" s="150" t="s">
        <v>365</v>
      </c>
      <c r="C46" s="151"/>
      <c r="D46" s="132">
        <v>0</v>
      </c>
      <c r="E46" s="132">
        <v>0</v>
      </c>
      <c r="F46" s="132">
        <f t="shared" si="10"/>
        <v>0</v>
      </c>
      <c r="G46" s="132">
        <v>0</v>
      </c>
      <c r="H46" s="132">
        <v>0</v>
      </c>
      <c r="I46" s="132">
        <f t="shared" si="6"/>
        <v>0</v>
      </c>
    </row>
    <row r="47" spans="2:9" ht="12.75">
      <c r="B47" s="150" t="s">
        <v>366</v>
      </c>
      <c r="C47" s="151"/>
      <c r="D47" s="132">
        <v>1030000</v>
      </c>
      <c r="E47" s="132">
        <v>0</v>
      </c>
      <c r="F47" s="132">
        <f t="shared" si="10"/>
        <v>1030000</v>
      </c>
      <c r="G47" s="132">
        <v>750000</v>
      </c>
      <c r="H47" s="132">
        <v>750000</v>
      </c>
      <c r="I47" s="132">
        <f t="shared" si="6"/>
        <v>280000</v>
      </c>
    </row>
    <row r="48" spans="2:9" ht="12.75">
      <c r="B48" s="150" t="s">
        <v>367</v>
      </c>
      <c r="C48" s="151"/>
      <c r="D48" s="132">
        <v>0</v>
      </c>
      <c r="E48" s="132">
        <v>0</v>
      </c>
      <c r="F48" s="132">
        <f t="shared" si="10"/>
        <v>0</v>
      </c>
      <c r="G48" s="132">
        <v>0</v>
      </c>
      <c r="H48" s="132">
        <v>0</v>
      </c>
      <c r="I48" s="132">
        <f t="shared" si="6"/>
        <v>0</v>
      </c>
    </row>
    <row r="49" spans="2:9" ht="12.75">
      <c r="B49" s="244" t="s">
        <v>368</v>
      </c>
      <c r="C49" s="245"/>
      <c r="D49" s="132">
        <f aca="true" t="shared" si="11" ref="D49:I49">SUM(D50:D58)</f>
        <v>25234233.49</v>
      </c>
      <c r="E49" s="132">
        <f t="shared" si="11"/>
        <v>-9603772.98</v>
      </c>
      <c r="F49" s="132">
        <f t="shared" si="11"/>
        <v>15630460.509999998</v>
      </c>
      <c r="G49" s="132">
        <f>SUM(G50:G58)</f>
        <v>894995.35</v>
      </c>
      <c r="H49" s="132">
        <f>SUM(H50:H58)</f>
        <v>836995.35</v>
      </c>
      <c r="I49" s="132">
        <f t="shared" si="11"/>
        <v>14735465.16</v>
      </c>
    </row>
    <row r="50" spans="2:9" ht="12.75">
      <c r="B50" s="150" t="s">
        <v>369</v>
      </c>
      <c r="C50" s="151"/>
      <c r="D50" s="132">
        <v>5659884.09</v>
      </c>
      <c r="E50" s="132">
        <v>-1352808.98</v>
      </c>
      <c r="F50" s="132">
        <f t="shared" si="10"/>
        <v>4307075.109999999</v>
      </c>
      <c r="G50" s="132">
        <v>650.25</v>
      </c>
      <c r="H50" s="132">
        <v>650.25</v>
      </c>
      <c r="I50" s="132">
        <f t="shared" si="6"/>
        <v>4306424.859999999</v>
      </c>
    </row>
    <row r="51" spans="2:9" ht="12.75">
      <c r="B51" s="150" t="s">
        <v>370</v>
      </c>
      <c r="C51" s="151"/>
      <c r="D51" s="132">
        <v>1674783.2</v>
      </c>
      <c r="E51" s="132">
        <v>-700750</v>
      </c>
      <c r="F51" s="132">
        <f t="shared" si="10"/>
        <v>974033.2</v>
      </c>
      <c r="G51" s="132">
        <v>0</v>
      </c>
      <c r="H51" s="132">
        <v>0</v>
      </c>
      <c r="I51" s="132">
        <f t="shared" si="6"/>
        <v>974033.2</v>
      </c>
    </row>
    <row r="52" spans="2:9" ht="12.75">
      <c r="B52" s="150" t="s">
        <v>371</v>
      </c>
      <c r="C52" s="151"/>
      <c r="D52" s="132">
        <v>4400</v>
      </c>
      <c r="E52" s="132">
        <v>0</v>
      </c>
      <c r="F52" s="132">
        <f t="shared" si="10"/>
        <v>4400</v>
      </c>
      <c r="G52" s="132">
        <v>0</v>
      </c>
      <c r="H52" s="132">
        <v>0</v>
      </c>
      <c r="I52" s="132">
        <f t="shared" si="6"/>
        <v>4400</v>
      </c>
    </row>
    <row r="53" spans="2:9" ht="12.75">
      <c r="B53" s="150" t="s">
        <v>372</v>
      </c>
      <c r="C53" s="151"/>
      <c r="D53" s="132">
        <v>584441</v>
      </c>
      <c r="E53" s="132">
        <v>-500000</v>
      </c>
      <c r="F53" s="132">
        <f t="shared" si="10"/>
        <v>84441</v>
      </c>
      <c r="G53" s="132">
        <v>0</v>
      </c>
      <c r="H53" s="132">
        <v>0</v>
      </c>
      <c r="I53" s="132">
        <f t="shared" si="6"/>
        <v>84441</v>
      </c>
    </row>
    <row r="54" spans="2:9" ht="12.75">
      <c r="B54" s="150" t="s">
        <v>373</v>
      </c>
      <c r="C54" s="151"/>
      <c r="D54" s="132">
        <v>150</v>
      </c>
      <c r="E54" s="132">
        <v>0</v>
      </c>
      <c r="F54" s="132">
        <f t="shared" si="10"/>
        <v>150</v>
      </c>
      <c r="G54" s="132">
        <v>0</v>
      </c>
      <c r="H54" s="132">
        <v>0</v>
      </c>
      <c r="I54" s="132">
        <f t="shared" si="6"/>
        <v>150</v>
      </c>
    </row>
    <row r="55" spans="2:9" ht="12.75">
      <c r="B55" s="150" t="s">
        <v>374</v>
      </c>
      <c r="C55" s="151"/>
      <c r="D55" s="132">
        <v>12893186.2</v>
      </c>
      <c r="E55" s="132">
        <v>-7000000</v>
      </c>
      <c r="F55" s="132">
        <f t="shared" si="10"/>
        <v>5893186.199999999</v>
      </c>
      <c r="G55" s="132">
        <v>836345.1</v>
      </c>
      <c r="H55" s="132">
        <v>836345.1</v>
      </c>
      <c r="I55" s="132">
        <f t="shared" si="6"/>
        <v>5056841.1</v>
      </c>
    </row>
    <row r="56" spans="2:9" ht="12.75">
      <c r="B56" s="150" t="s">
        <v>375</v>
      </c>
      <c r="C56" s="151"/>
      <c r="D56" s="132">
        <v>50</v>
      </c>
      <c r="E56" s="132">
        <v>0</v>
      </c>
      <c r="F56" s="132">
        <f t="shared" si="10"/>
        <v>50</v>
      </c>
      <c r="G56" s="132">
        <v>0</v>
      </c>
      <c r="H56" s="132">
        <v>0</v>
      </c>
      <c r="I56" s="132">
        <f t="shared" si="6"/>
        <v>50</v>
      </c>
    </row>
    <row r="57" spans="2:9" ht="12.75">
      <c r="B57" s="150" t="s">
        <v>376</v>
      </c>
      <c r="C57" s="151"/>
      <c r="D57" s="132">
        <v>3101550</v>
      </c>
      <c r="E57" s="132">
        <v>0</v>
      </c>
      <c r="F57" s="132">
        <f t="shared" si="10"/>
        <v>3101550</v>
      </c>
      <c r="G57" s="132">
        <v>0</v>
      </c>
      <c r="H57" s="132">
        <v>0</v>
      </c>
      <c r="I57" s="132">
        <f t="shared" si="6"/>
        <v>3101550</v>
      </c>
    </row>
    <row r="58" spans="2:9" ht="12.75">
      <c r="B58" s="150" t="s">
        <v>377</v>
      </c>
      <c r="C58" s="151"/>
      <c r="D58" s="132">
        <v>1315789</v>
      </c>
      <c r="E58" s="132">
        <v>-50214</v>
      </c>
      <c r="F58" s="132">
        <f t="shared" si="10"/>
        <v>1265575</v>
      </c>
      <c r="G58" s="132">
        <v>58000</v>
      </c>
      <c r="H58" s="132">
        <v>0</v>
      </c>
      <c r="I58" s="132">
        <f t="shared" si="6"/>
        <v>1207575</v>
      </c>
    </row>
    <row r="59" spans="2:9" ht="12.75">
      <c r="B59" s="148" t="s">
        <v>378</v>
      </c>
      <c r="C59" s="149"/>
      <c r="D59" s="132">
        <f>SUM(D60:D62)</f>
        <v>0</v>
      </c>
      <c r="E59" s="132">
        <f>SUM(E60:E62)</f>
        <v>6715787.999999985</v>
      </c>
      <c r="F59" s="132">
        <f>SUM(F60:F62)</f>
        <v>6715787.999999985</v>
      </c>
      <c r="G59" s="132">
        <f>SUM(G60:G62)</f>
        <v>6715787.219999999</v>
      </c>
      <c r="H59" s="132">
        <f>SUM(H60:H62)</f>
        <v>6715787.219999999</v>
      </c>
      <c r="I59" s="132">
        <f t="shared" si="6"/>
        <v>0.7799999862909317</v>
      </c>
    </row>
    <row r="60" spans="2:9" ht="12.75">
      <c r="B60" s="150" t="s">
        <v>379</v>
      </c>
      <c r="C60" s="151"/>
      <c r="D60" s="132">
        <v>0</v>
      </c>
      <c r="E60" s="132">
        <v>6715787.999999985</v>
      </c>
      <c r="F60" s="132">
        <f t="shared" si="10"/>
        <v>6715787.999999985</v>
      </c>
      <c r="G60" s="132">
        <v>6715787.219999999</v>
      </c>
      <c r="H60" s="132">
        <v>6715787.219999999</v>
      </c>
      <c r="I60" s="132">
        <f t="shared" si="6"/>
        <v>0.7799999862909317</v>
      </c>
    </row>
    <row r="61" spans="2:9" ht="12.75">
      <c r="B61" s="150" t="s">
        <v>380</v>
      </c>
      <c r="C61" s="151"/>
      <c r="D61" s="132">
        <v>0</v>
      </c>
      <c r="E61" s="132">
        <v>0</v>
      </c>
      <c r="F61" s="132">
        <f t="shared" si="10"/>
        <v>0</v>
      </c>
      <c r="G61" s="132">
        <v>0</v>
      </c>
      <c r="H61" s="132">
        <v>0</v>
      </c>
      <c r="I61" s="132">
        <f t="shared" si="6"/>
        <v>0</v>
      </c>
    </row>
    <row r="62" spans="2:9" ht="12.75">
      <c r="B62" s="150" t="s">
        <v>381</v>
      </c>
      <c r="C62" s="151"/>
      <c r="D62" s="132">
        <v>0</v>
      </c>
      <c r="E62" s="132">
        <v>0</v>
      </c>
      <c r="F62" s="132">
        <f t="shared" si="10"/>
        <v>0</v>
      </c>
      <c r="G62" s="132">
        <v>0</v>
      </c>
      <c r="H62" s="132">
        <v>0</v>
      </c>
      <c r="I62" s="132">
        <f t="shared" si="6"/>
        <v>0</v>
      </c>
    </row>
    <row r="63" spans="2:9" ht="12.75">
      <c r="B63" s="244" t="s">
        <v>382</v>
      </c>
      <c r="C63" s="245"/>
      <c r="D63" s="132">
        <f>SUM(D64:D71)</f>
        <v>1000000</v>
      </c>
      <c r="E63" s="132">
        <f>SUM(E64:E71)</f>
        <v>0</v>
      </c>
      <c r="F63" s="132">
        <f>F64+F65+F66+F67+F68+F70+F71</f>
        <v>1000000</v>
      </c>
      <c r="G63" s="132">
        <f>SUM(G64:G71)</f>
        <v>0</v>
      </c>
      <c r="H63" s="132">
        <f>SUM(H64:H71)</f>
        <v>0</v>
      </c>
      <c r="I63" s="132">
        <f t="shared" si="6"/>
        <v>1000000</v>
      </c>
    </row>
    <row r="64" spans="2:9" ht="12.75">
      <c r="B64" s="150" t="s">
        <v>383</v>
      </c>
      <c r="C64" s="151"/>
      <c r="D64" s="132">
        <v>0</v>
      </c>
      <c r="E64" s="132">
        <v>0</v>
      </c>
      <c r="F64" s="132">
        <f t="shared" si="10"/>
        <v>0</v>
      </c>
      <c r="G64" s="132">
        <v>0</v>
      </c>
      <c r="H64" s="132">
        <v>0</v>
      </c>
      <c r="I64" s="132">
        <f t="shared" si="6"/>
        <v>0</v>
      </c>
    </row>
    <row r="65" spans="2:9" ht="12.75">
      <c r="B65" s="150" t="s">
        <v>384</v>
      </c>
      <c r="C65" s="151"/>
      <c r="D65" s="132">
        <v>0</v>
      </c>
      <c r="E65" s="132">
        <v>0</v>
      </c>
      <c r="F65" s="132">
        <f t="shared" si="10"/>
        <v>0</v>
      </c>
      <c r="G65" s="132">
        <v>0</v>
      </c>
      <c r="H65" s="132">
        <v>0</v>
      </c>
      <c r="I65" s="132">
        <f t="shared" si="6"/>
        <v>0</v>
      </c>
    </row>
    <row r="66" spans="2:9" ht="12.75">
      <c r="B66" s="150" t="s">
        <v>385</v>
      </c>
      <c r="C66" s="151"/>
      <c r="D66" s="132">
        <v>0</v>
      </c>
      <c r="E66" s="132">
        <v>0</v>
      </c>
      <c r="F66" s="132">
        <f t="shared" si="10"/>
        <v>0</v>
      </c>
      <c r="G66" s="132">
        <v>0</v>
      </c>
      <c r="H66" s="132">
        <v>0</v>
      </c>
      <c r="I66" s="132">
        <f t="shared" si="6"/>
        <v>0</v>
      </c>
    </row>
    <row r="67" spans="2:9" ht="12.75">
      <c r="B67" s="150" t="s">
        <v>386</v>
      </c>
      <c r="C67" s="151"/>
      <c r="D67" s="132">
        <v>0</v>
      </c>
      <c r="E67" s="132">
        <v>0</v>
      </c>
      <c r="F67" s="132">
        <f t="shared" si="10"/>
        <v>0</v>
      </c>
      <c r="G67" s="132">
        <v>0</v>
      </c>
      <c r="H67" s="132">
        <v>0</v>
      </c>
      <c r="I67" s="132">
        <f t="shared" si="6"/>
        <v>0</v>
      </c>
    </row>
    <row r="68" spans="2:9" ht="12.75">
      <c r="B68" s="150" t="s">
        <v>387</v>
      </c>
      <c r="C68" s="151"/>
      <c r="D68" s="132">
        <v>1000000</v>
      </c>
      <c r="E68" s="132">
        <v>0</v>
      </c>
      <c r="F68" s="132">
        <f t="shared" si="10"/>
        <v>1000000</v>
      </c>
      <c r="G68" s="132">
        <v>0</v>
      </c>
      <c r="H68" s="132">
        <v>0</v>
      </c>
      <c r="I68" s="132">
        <f t="shared" si="6"/>
        <v>1000000</v>
      </c>
    </row>
    <row r="69" spans="2:9" ht="12.75">
      <c r="B69" s="150" t="s">
        <v>388</v>
      </c>
      <c r="C69" s="151"/>
      <c r="D69" s="132">
        <v>0</v>
      </c>
      <c r="E69" s="132">
        <v>0</v>
      </c>
      <c r="F69" s="132">
        <f t="shared" si="10"/>
        <v>0</v>
      </c>
      <c r="G69" s="132">
        <v>0</v>
      </c>
      <c r="H69" s="132">
        <v>0</v>
      </c>
      <c r="I69" s="132">
        <f t="shared" si="6"/>
        <v>0</v>
      </c>
    </row>
    <row r="70" spans="2:9" ht="12.75">
      <c r="B70" s="150" t="s">
        <v>389</v>
      </c>
      <c r="C70" s="151"/>
      <c r="D70" s="132">
        <v>0</v>
      </c>
      <c r="E70" s="132">
        <v>0</v>
      </c>
      <c r="F70" s="132">
        <f t="shared" si="10"/>
        <v>0</v>
      </c>
      <c r="G70" s="132">
        <v>0</v>
      </c>
      <c r="H70" s="132">
        <v>0</v>
      </c>
      <c r="I70" s="132">
        <f t="shared" si="6"/>
        <v>0</v>
      </c>
    </row>
    <row r="71" spans="2:9" ht="12.75">
      <c r="B71" s="150" t="s">
        <v>390</v>
      </c>
      <c r="C71" s="151"/>
      <c r="D71" s="132">
        <v>0</v>
      </c>
      <c r="E71" s="132">
        <v>0</v>
      </c>
      <c r="F71" s="132">
        <f t="shared" si="10"/>
        <v>0</v>
      </c>
      <c r="G71" s="132">
        <v>0</v>
      </c>
      <c r="H71" s="132">
        <v>0</v>
      </c>
      <c r="I71" s="132">
        <f t="shared" si="6"/>
        <v>0</v>
      </c>
    </row>
    <row r="72" spans="2:9" ht="12.75">
      <c r="B72" s="148" t="s">
        <v>391</v>
      </c>
      <c r="C72" s="149"/>
      <c r="D72" s="132">
        <f>SUM(D73:D75)</f>
        <v>2038946243.21</v>
      </c>
      <c r="E72" s="132">
        <f>SUM(E73:E75)</f>
        <v>-28835000</v>
      </c>
      <c r="F72" s="132">
        <f>SUM(F73:F75)</f>
        <v>2010111243.21</v>
      </c>
      <c r="G72" s="132">
        <f>SUM(G73:G75)</f>
        <v>536268203.32000005</v>
      </c>
      <c r="H72" s="132">
        <f>SUM(H73:H75)</f>
        <v>530838463.44000006</v>
      </c>
      <c r="I72" s="132">
        <f t="shared" si="6"/>
        <v>1473843039.8899999</v>
      </c>
    </row>
    <row r="73" spans="2:9" ht="12.75">
      <c r="B73" s="150" t="s">
        <v>392</v>
      </c>
      <c r="C73" s="151"/>
      <c r="D73" s="132">
        <v>1892911372</v>
      </c>
      <c r="E73" s="132">
        <v>0</v>
      </c>
      <c r="F73" s="132">
        <f t="shared" si="10"/>
        <v>1892911372</v>
      </c>
      <c r="G73" s="132">
        <v>525308453.73</v>
      </c>
      <c r="H73" s="132">
        <v>519878713.85</v>
      </c>
      <c r="I73" s="132">
        <f t="shared" si="6"/>
        <v>1367602918.27</v>
      </c>
    </row>
    <row r="74" spans="2:9" ht="12.75">
      <c r="B74" s="150" t="s">
        <v>393</v>
      </c>
      <c r="C74" s="151"/>
      <c r="D74" s="132">
        <v>0</v>
      </c>
      <c r="E74" s="132">
        <v>0</v>
      </c>
      <c r="F74" s="132">
        <f t="shared" si="10"/>
        <v>0</v>
      </c>
      <c r="G74" s="132">
        <v>0</v>
      </c>
      <c r="H74" s="132">
        <v>0</v>
      </c>
      <c r="I74" s="132">
        <f t="shared" si="6"/>
        <v>0</v>
      </c>
    </row>
    <row r="75" spans="2:9" ht="12.75">
      <c r="B75" s="150" t="s">
        <v>394</v>
      </c>
      <c r="C75" s="151"/>
      <c r="D75" s="132">
        <v>146034871.21</v>
      </c>
      <c r="E75" s="132">
        <v>-28835000</v>
      </c>
      <c r="F75" s="132">
        <f t="shared" si="10"/>
        <v>117199871.21000001</v>
      </c>
      <c r="G75" s="132">
        <v>10959749.590000004</v>
      </c>
      <c r="H75" s="132">
        <v>10959749.590000004</v>
      </c>
      <c r="I75" s="132">
        <f t="shared" si="6"/>
        <v>106240121.62</v>
      </c>
    </row>
    <row r="76" spans="2:9" ht="12.75">
      <c r="B76" s="148" t="s">
        <v>395</v>
      </c>
      <c r="C76" s="149"/>
      <c r="D76" s="132">
        <f>SUM(D77:D83)</f>
        <v>227403110</v>
      </c>
      <c r="E76" s="132">
        <f>SUM(E77:E83)</f>
        <v>0</v>
      </c>
      <c r="F76" s="132">
        <f>SUM(F77:F83)</f>
        <v>227403110</v>
      </c>
      <c r="G76" s="132">
        <f>SUM(G77:G83)</f>
        <v>119825380.5</v>
      </c>
      <c r="H76" s="132">
        <f>SUM(H77:H83)</f>
        <v>119825380.5</v>
      </c>
      <c r="I76" s="132">
        <f t="shared" si="6"/>
        <v>107577729.5</v>
      </c>
    </row>
    <row r="77" spans="2:9" ht="12.75">
      <c r="B77" s="150" t="s">
        <v>396</v>
      </c>
      <c r="C77" s="151"/>
      <c r="D77" s="132">
        <v>0</v>
      </c>
      <c r="E77" s="132">
        <v>20849634.82</v>
      </c>
      <c r="F77" s="132">
        <f t="shared" si="10"/>
        <v>20849634.82</v>
      </c>
      <c r="G77" s="132">
        <v>20849634.82</v>
      </c>
      <c r="H77" s="132">
        <v>20849634.82</v>
      </c>
      <c r="I77" s="132">
        <f t="shared" si="6"/>
        <v>0</v>
      </c>
    </row>
    <row r="78" spans="2:9" ht="12.75">
      <c r="B78" s="150" t="s">
        <v>397</v>
      </c>
      <c r="C78" s="151"/>
      <c r="D78" s="132">
        <v>216403110</v>
      </c>
      <c r="E78" s="132">
        <v>-20849634.82</v>
      </c>
      <c r="F78" s="132">
        <f t="shared" si="10"/>
        <v>195553475.18</v>
      </c>
      <c r="G78" s="132">
        <v>98975745.68</v>
      </c>
      <c r="H78" s="132">
        <v>98975745.68</v>
      </c>
      <c r="I78" s="132">
        <f t="shared" si="6"/>
        <v>96577729.5</v>
      </c>
    </row>
    <row r="79" spans="2:9" ht="12.75">
      <c r="B79" s="150" t="s">
        <v>398</v>
      </c>
      <c r="C79" s="151"/>
      <c r="D79" s="132">
        <v>0</v>
      </c>
      <c r="E79" s="132">
        <v>0</v>
      </c>
      <c r="F79" s="132">
        <f t="shared" si="10"/>
        <v>0</v>
      </c>
      <c r="G79" s="132">
        <v>0</v>
      </c>
      <c r="H79" s="132">
        <v>0</v>
      </c>
      <c r="I79" s="132">
        <f t="shared" si="6"/>
        <v>0</v>
      </c>
    </row>
    <row r="80" spans="2:9" ht="12.75">
      <c r="B80" s="150" t="s">
        <v>399</v>
      </c>
      <c r="C80" s="151"/>
      <c r="D80" s="132">
        <v>0</v>
      </c>
      <c r="E80" s="132">
        <v>0</v>
      </c>
      <c r="F80" s="132">
        <f t="shared" si="10"/>
        <v>0</v>
      </c>
      <c r="G80" s="132">
        <v>0</v>
      </c>
      <c r="H80" s="132">
        <v>0</v>
      </c>
      <c r="I80" s="132">
        <f t="shared" si="6"/>
        <v>0</v>
      </c>
    </row>
    <row r="81" spans="2:9" ht="12.75">
      <c r="B81" s="150" t="s">
        <v>400</v>
      </c>
      <c r="C81" s="151"/>
      <c r="D81" s="132">
        <v>0</v>
      </c>
      <c r="E81" s="132">
        <v>0</v>
      </c>
      <c r="F81" s="132">
        <f t="shared" si="10"/>
        <v>0</v>
      </c>
      <c r="G81" s="132">
        <v>0</v>
      </c>
      <c r="H81" s="132">
        <v>0</v>
      </c>
      <c r="I81" s="132">
        <f t="shared" si="6"/>
        <v>0</v>
      </c>
    </row>
    <row r="82" spans="2:9" ht="12.75">
      <c r="B82" s="150" t="s">
        <v>401</v>
      </c>
      <c r="C82" s="151"/>
      <c r="D82" s="132">
        <v>0</v>
      </c>
      <c r="E82" s="132">
        <v>0</v>
      </c>
      <c r="F82" s="132">
        <f t="shared" si="10"/>
        <v>0</v>
      </c>
      <c r="G82" s="132">
        <v>0</v>
      </c>
      <c r="H82" s="132">
        <v>0</v>
      </c>
      <c r="I82" s="132">
        <f t="shared" si="6"/>
        <v>0</v>
      </c>
    </row>
    <row r="83" spans="2:9" ht="12.75">
      <c r="B83" s="150" t="s">
        <v>402</v>
      </c>
      <c r="C83" s="151"/>
      <c r="D83" s="132">
        <v>11000000</v>
      </c>
      <c r="E83" s="132">
        <v>0</v>
      </c>
      <c r="F83" s="132">
        <f t="shared" si="10"/>
        <v>11000000</v>
      </c>
      <c r="G83" s="132">
        <v>0</v>
      </c>
      <c r="H83" s="132">
        <v>0</v>
      </c>
      <c r="I83" s="132">
        <f t="shared" si="6"/>
        <v>11000000</v>
      </c>
    </row>
    <row r="84" spans="2:9" ht="12.75">
      <c r="B84" s="155"/>
      <c r="C84" s="156"/>
      <c r="D84" s="157"/>
      <c r="E84" s="158"/>
      <c r="F84" s="158"/>
      <c r="G84" s="158"/>
      <c r="H84" s="158"/>
      <c r="I84" s="158"/>
    </row>
    <row r="85" spans="2:9" ht="12.75">
      <c r="B85" s="159" t="s">
        <v>403</v>
      </c>
      <c r="C85" s="160"/>
      <c r="D85" s="161">
        <f aca="true" t="shared" si="12" ref="D85:I85">D86+D104+D94+D114+D124+D134+D138+D147+D151</f>
        <v>11353166729</v>
      </c>
      <c r="E85" s="161">
        <f>E86+E104+E94+E114+E124+E134+E138+E147+E151</f>
        <v>296277681.38</v>
      </c>
      <c r="F85" s="161">
        <f t="shared" si="12"/>
        <v>11649444410.38</v>
      </c>
      <c r="G85" s="161">
        <f>G86+G104+G94+G114+G124+G134+G138+G147+G151</f>
        <v>2843046973.35</v>
      </c>
      <c r="H85" s="161">
        <f>H86+H104+H94+H114+H124+H134+H138+H147+H151</f>
        <v>2840989607.7300005</v>
      </c>
      <c r="I85" s="161">
        <f t="shared" si="12"/>
        <v>8806397437.03</v>
      </c>
    </row>
    <row r="86" spans="2:9" ht="12.75">
      <c r="B86" s="148" t="s">
        <v>330</v>
      </c>
      <c r="C86" s="149"/>
      <c r="D86" s="132">
        <f>SUM(D87:D93)</f>
        <v>0</v>
      </c>
      <c r="E86" s="132">
        <f>SUM(E87:E93)</f>
        <v>89330342.47999999</v>
      </c>
      <c r="F86" s="132">
        <f>SUM(F87:F93)</f>
        <v>89330342.47999999</v>
      </c>
      <c r="G86" s="132">
        <f>SUM(G87:G93)</f>
        <v>89304122.47999999</v>
      </c>
      <c r="H86" s="132">
        <f>SUM(H87:H93)</f>
        <v>89043243.16</v>
      </c>
      <c r="I86" s="132">
        <f aca="true" t="shared" si="13" ref="I86:I149">F86-G86</f>
        <v>26220</v>
      </c>
    </row>
    <row r="87" spans="2:9" ht="12.75">
      <c r="B87" s="150" t="s">
        <v>331</v>
      </c>
      <c r="C87" s="151"/>
      <c r="D87" s="132">
        <v>0</v>
      </c>
      <c r="E87" s="132">
        <v>46668107.14</v>
      </c>
      <c r="F87" s="132">
        <f aca="true" t="shared" si="14" ref="F87:F103">D87+E87</f>
        <v>46668107.14</v>
      </c>
      <c r="G87" s="132">
        <v>46668107.14</v>
      </c>
      <c r="H87" s="132">
        <v>46668107.14</v>
      </c>
      <c r="I87" s="132">
        <f t="shared" si="13"/>
        <v>0</v>
      </c>
    </row>
    <row r="88" spans="2:9" ht="12.75">
      <c r="B88" s="150" t="s">
        <v>332</v>
      </c>
      <c r="C88" s="151"/>
      <c r="D88" s="132">
        <v>0</v>
      </c>
      <c r="E88" s="132">
        <v>4049330.41</v>
      </c>
      <c r="F88" s="132">
        <f t="shared" si="14"/>
        <v>4049330.41</v>
      </c>
      <c r="G88" s="132">
        <v>4025330.41</v>
      </c>
      <c r="H88" s="132">
        <v>3793597.03</v>
      </c>
      <c r="I88" s="132">
        <f t="shared" si="13"/>
        <v>24000</v>
      </c>
    </row>
    <row r="89" spans="2:9" ht="12.75">
      <c r="B89" s="150" t="s">
        <v>333</v>
      </c>
      <c r="C89" s="151"/>
      <c r="D89" s="132">
        <v>0</v>
      </c>
      <c r="E89" s="132">
        <v>2118498.8</v>
      </c>
      <c r="F89" s="132">
        <f t="shared" si="14"/>
        <v>2118498.8</v>
      </c>
      <c r="G89" s="132">
        <v>2118498.8</v>
      </c>
      <c r="H89" s="132">
        <v>2110788.2</v>
      </c>
      <c r="I89" s="132">
        <f t="shared" si="13"/>
        <v>0</v>
      </c>
    </row>
    <row r="90" spans="2:9" ht="12.75">
      <c r="B90" s="150" t="s">
        <v>334</v>
      </c>
      <c r="C90" s="151"/>
      <c r="D90" s="132">
        <v>0</v>
      </c>
      <c r="E90" s="132">
        <v>14222209.24</v>
      </c>
      <c r="F90" s="132">
        <f t="shared" si="14"/>
        <v>14222209.24</v>
      </c>
      <c r="G90" s="132">
        <v>14219989.24</v>
      </c>
      <c r="H90" s="132">
        <v>14198553.9</v>
      </c>
      <c r="I90" s="132">
        <f t="shared" si="13"/>
        <v>2220</v>
      </c>
    </row>
    <row r="91" spans="2:9" ht="12.75">
      <c r="B91" s="150" t="s">
        <v>335</v>
      </c>
      <c r="C91" s="151"/>
      <c r="D91" s="132">
        <v>0</v>
      </c>
      <c r="E91" s="132">
        <v>22009208.92</v>
      </c>
      <c r="F91" s="132">
        <f t="shared" si="14"/>
        <v>22009208.92</v>
      </c>
      <c r="G91" s="132">
        <v>22009208.92</v>
      </c>
      <c r="H91" s="132">
        <v>22009208.92</v>
      </c>
      <c r="I91" s="132">
        <f t="shared" si="13"/>
        <v>0</v>
      </c>
    </row>
    <row r="92" spans="2:9" ht="12.75">
      <c r="B92" s="150" t="s">
        <v>336</v>
      </c>
      <c r="C92" s="151"/>
      <c r="D92" s="132">
        <v>0</v>
      </c>
      <c r="E92" s="132">
        <v>0</v>
      </c>
      <c r="F92" s="132">
        <f t="shared" si="14"/>
        <v>0</v>
      </c>
      <c r="G92" s="132">
        <v>0</v>
      </c>
      <c r="H92" s="132">
        <v>0</v>
      </c>
      <c r="I92" s="132">
        <f t="shared" si="13"/>
        <v>0</v>
      </c>
    </row>
    <row r="93" spans="2:9" ht="12.75">
      <c r="B93" s="150" t="s">
        <v>337</v>
      </c>
      <c r="C93" s="151"/>
      <c r="D93" s="132">
        <v>0</v>
      </c>
      <c r="E93" s="132">
        <v>262987.97</v>
      </c>
      <c r="F93" s="132">
        <f t="shared" si="14"/>
        <v>262987.97</v>
      </c>
      <c r="G93" s="132">
        <v>262987.97</v>
      </c>
      <c r="H93" s="132">
        <v>262987.97</v>
      </c>
      <c r="I93" s="132">
        <f t="shared" si="13"/>
        <v>0</v>
      </c>
    </row>
    <row r="94" spans="2:9" ht="12.75">
      <c r="B94" s="148" t="s">
        <v>338</v>
      </c>
      <c r="C94" s="149"/>
      <c r="D94" s="132">
        <f>SUM(D95:D103)</f>
        <v>2600000</v>
      </c>
      <c r="E94" s="132">
        <f>SUM(E95:E103)</f>
        <v>490873.80000000005</v>
      </c>
      <c r="F94" s="132">
        <f>SUM(F95:F103)</f>
        <v>3090873.8</v>
      </c>
      <c r="G94" s="132">
        <f>SUM(G95:G103)</f>
        <v>607250.8</v>
      </c>
      <c r="H94" s="132">
        <f>SUM(H95:H103)</f>
        <v>490873.80000000005</v>
      </c>
      <c r="I94" s="132">
        <f t="shared" si="13"/>
        <v>2483623</v>
      </c>
    </row>
    <row r="95" spans="2:9" ht="12.75">
      <c r="B95" s="150" t="s">
        <v>339</v>
      </c>
      <c r="C95" s="151"/>
      <c r="D95" s="132">
        <v>0</v>
      </c>
      <c r="E95" s="132">
        <v>127598.65</v>
      </c>
      <c r="F95" s="132">
        <f t="shared" si="14"/>
        <v>127598.65</v>
      </c>
      <c r="G95" s="132">
        <v>127598.65</v>
      </c>
      <c r="H95" s="132">
        <v>127598.65</v>
      </c>
      <c r="I95" s="132">
        <f t="shared" si="13"/>
        <v>0</v>
      </c>
    </row>
    <row r="96" spans="2:9" ht="12.75">
      <c r="B96" s="150" t="s">
        <v>340</v>
      </c>
      <c r="C96" s="151"/>
      <c r="D96" s="132">
        <v>2600000</v>
      </c>
      <c r="E96" s="132">
        <v>0</v>
      </c>
      <c r="F96" s="132">
        <f t="shared" si="14"/>
        <v>2600000</v>
      </c>
      <c r="G96" s="132">
        <v>116377</v>
      </c>
      <c r="H96" s="132">
        <v>0</v>
      </c>
      <c r="I96" s="132">
        <f t="shared" si="13"/>
        <v>2483623</v>
      </c>
    </row>
    <row r="97" spans="2:9" ht="12.75">
      <c r="B97" s="150" t="s">
        <v>341</v>
      </c>
      <c r="C97" s="151"/>
      <c r="D97" s="132">
        <v>0</v>
      </c>
      <c r="E97" s="132">
        <v>0</v>
      </c>
      <c r="F97" s="132">
        <f t="shared" si="14"/>
        <v>0</v>
      </c>
      <c r="G97" s="132">
        <v>0</v>
      </c>
      <c r="H97" s="132">
        <v>0</v>
      </c>
      <c r="I97" s="132">
        <f t="shared" si="13"/>
        <v>0</v>
      </c>
    </row>
    <row r="98" spans="2:9" ht="12.75">
      <c r="B98" s="150" t="s">
        <v>342</v>
      </c>
      <c r="C98" s="151"/>
      <c r="D98" s="132">
        <v>0</v>
      </c>
      <c r="E98" s="132">
        <v>0</v>
      </c>
      <c r="F98" s="132">
        <f t="shared" si="14"/>
        <v>0</v>
      </c>
      <c r="G98" s="132">
        <v>0</v>
      </c>
      <c r="H98" s="132">
        <v>0</v>
      </c>
      <c r="I98" s="132">
        <f t="shared" si="13"/>
        <v>0</v>
      </c>
    </row>
    <row r="99" spans="2:9" ht="12.75">
      <c r="B99" s="150" t="s">
        <v>343</v>
      </c>
      <c r="C99" s="151"/>
      <c r="D99" s="132">
        <v>0</v>
      </c>
      <c r="E99" s="132">
        <v>0</v>
      </c>
      <c r="F99" s="132">
        <f t="shared" si="14"/>
        <v>0</v>
      </c>
      <c r="G99" s="132">
        <v>0</v>
      </c>
      <c r="H99" s="132">
        <v>0</v>
      </c>
      <c r="I99" s="132">
        <f t="shared" si="13"/>
        <v>0</v>
      </c>
    </row>
    <row r="100" spans="2:9" ht="12.75">
      <c r="B100" s="150" t="s">
        <v>344</v>
      </c>
      <c r="C100" s="151"/>
      <c r="D100" s="132">
        <v>0</v>
      </c>
      <c r="E100" s="132">
        <v>326776.24</v>
      </c>
      <c r="F100" s="132">
        <f t="shared" si="14"/>
        <v>326776.24</v>
      </c>
      <c r="G100" s="132">
        <v>326776.24</v>
      </c>
      <c r="H100" s="132">
        <v>326776.24</v>
      </c>
      <c r="I100" s="132">
        <f t="shared" si="13"/>
        <v>0</v>
      </c>
    </row>
    <row r="101" spans="2:9" ht="12.75">
      <c r="B101" s="150" t="s">
        <v>345</v>
      </c>
      <c r="C101" s="151"/>
      <c r="D101" s="132">
        <v>0</v>
      </c>
      <c r="E101" s="132">
        <v>0</v>
      </c>
      <c r="F101" s="132">
        <f t="shared" si="14"/>
        <v>0</v>
      </c>
      <c r="G101" s="132">
        <v>0</v>
      </c>
      <c r="H101" s="132">
        <v>0</v>
      </c>
      <c r="I101" s="132">
        <f t="shared" si="13"/>
        <v>0</v>
      </c>
    </row>
    <row r="102" spans="2:9" ht="12.75">
      <c r="B102" s="150" t="s">
        <v>346</v>
      </c>
      <c r="C102" s="151"/>
      <c r="D102" s="132">
        <v>0</v>
      </c>
      <c r="E102" s="132">
        <v>0</v>
      </c>
      <c r="F102" s="132">
        <f t="shared" si="14"/>
        <v>0</v>
      </c>
      <c r="G102" s="132">
        <v>0</v>
      </c>
      <c r="H102" s="132">
        <v>0</v>
      </c>
      <c r="I102" s="132">
        <f t="shared" si="13"/>
        <v>0</v>
      </c>
    </row>
    <row r="103" spans="2:9" ht="12.75">
      <c r="B103" s="150" t="s">
        <v>347</v>
      </c>
      <c r="C103" s="151"/>
      <c r="D103" s="132">
        <v>0</v>
      </c>
      <c r="E103" s="132">
        <v>36498.91</v>
      </c>
      <c r="F103" s="132">
        <f t="shared" si="14"/>
        <v>36498.91</v>
      </c>
      <c r="G103" s="132">
        <v>36498.91</v>
      </c>
      <c r="H103" s="132">
        <v>36498.91</v>
      </c>
      <c r="I103" s="132">
        <f t="shared" si="13"/>
        <v>0</v>
      </c>
    </row>
    <row r="104" spans="2:9" ht="12.75">
      <c r="B104" s="148" t="s">
        <v>348</v>
      </c>
      <c r="C104" s="149"/>
      <c r="D104" s="132">
        <f>SUM(D105:D113)</f>
        <v>0</v>
      </c>
      <c r="E104" s="132">
        <f>SUM(E105:E113)</f>
        <v>20694740.4</v>
      </c>
      <c r="F104" s="132">
        <f>SUM(F105:F113)</f>
        <v>20694740.4</v>
      </c>
      <c r="G104" s="132">
        <f>SUM(G105:G113)</f>
        <v>16045785.299999999</v>
      </c>
      <c r="H104" s="132">
        <f>SUM(H105:H113)</f>
        <v>16045785.299999999</v>
      </c>
      <c r="I104" s="132">
        <f t="shared" si="13"/>
        <v>4648955.1</v>
      </c>
    </row>
    <row r="105" spans="2:9" ht="12.75">
      <c r="B105" s="150" t="s">
        <v>349</v>
      </c>
      <c r="C105" s="151"/>
      <c r="D105" s="132">
        <v>0</v>
      </c>
      <c r="E105" s="132">
        <v>0</v>
      </c>
      <c r="F105" s="132">
        <f>D105+E105</f>
        <v>0</v>
      </c>
      <c r="G105" s="132">
        <v>0</v>
      </c>
      <c r="H105" s="132">
        <v>0</v>
      </c>
      <c r="I105" s="132">
        <f t="shared" si="13"/>
        <v>0</v>
      </c>
    </row>
    <row r="106" spans="2:9" ht="12.75">
      <c r="B106" s="150" t="s">
        <v>350</v>
      </c>
      <c r="C106" s="151"/>
      <c r="D106" s="132">
        <v>0</v>
      </c>
      <c r="E106" s="132">
        <v>0</v>
      </c>
      <c r="F106" s="132">
        <f aca="true" t="shared" si="15" ref="F106:F112">D106+E106</f>
        <v>0</v>
      </c>
      <c r="G106" s="132">
        <v>0</v>
      </c>
      <c r="H106" s="132">
        <v>0</v>
      </c>
      <c r="I106" s="132">
        <f t="shared" si="13"/>
        <v>0</v>
      </c>
    </row>
    <row r="107" spans="2:9" ht="12.75">
      <c r="B107" s="150" t="s">
        <v>351</v>
      </c>
      <c r="C107" s="151"/>
      <c r="D107" s="132">
        <v>0</v>
      </c>
      <c r="E107" s="132">
        <v>0</v>
      </c>
      <c r="F107" s="132">
        <f t="shared" si="15"/>
        <v>0</v>
      </c>
      <c r="G107" s="132">
        <v>0</v>
      </c>
      <c r="H107" s="132">
        <v>0</v>
      </c>
      <c r="I107" s="132">
        <f t="shared" si="13"/>
        <v>0</v>
      </c>
    </row>
    <row r="108" spans="2:9" ht="12.75">
      <c r="B108" s="150" t="s">
        <v>352</v>
      </c>
      <c r="C108" s="151"/>
      <c r="D108" s="132">
        <v>0</v>
      </c>
      <c r="E108" s="132">
        <v>12233.68</v>
      </c>
      <c r="F108" s="132">
        <f t="shared" si="15"/>
        <v>12233.68</v>
      </c>
      <c r="G108" s="132">
        <v>12233.68</v>
      </c>
      <c r="H108" s="132">
        <v>12233.68</v>
      </c>
      <c r="I108" s="132">
        <f t="shared" si="13"/>
        <v>0</v>
      </c>
    </row>
    <row r="109" spans="2:9" ht="12.75">
      <c r="B109" s="150" t="s">
        <v>353</v>
      </c>
      <c r="C109" s="151"/>
      <c r="D109" s="132">
        <v>0</v>
      </c>
      <c r="E109" s="132">
        <v>20584631.72</v>
      </c>
      <c r="F109" s="132">
        <f t="shared" si="15"/>
        <v>20584631.72</v>
      </c>
      <c r="G109" s="132">
        <v>15935676.62</v>
      </c>
      <c r="H109" s="132">
        <v>15935676.62</v>
      </c>
      <c r="I109" s="132">
        <f t="shared" si="13"/>
        <v>4648955.1</v>
      </c>
    </row>
    <row r="110" spans="2:9" ht="12.75">
      <c r="B110" s="150" t="s">
        <v>354</v>
      </c>
      <c r="C110" s="151"/>
      <c r="D110" s="132">
        <v>0</v>
      </c>
      <c r="E110" s="132">
        <v>0</v>
      </c>
      <c r="F110" s="132">
        <f t="shared" si="15"/>
        <v>0</v>
      </c>
      <c r="G110" s="132">
        <v>0</v>
      </c>
      <c r="H110" s="132">
        <v>0</v>
      </c>
      <c r="I110" s="132">
        <f t="shared" si="13"/>
        <v>0</v>
      </c>
    </row>
    <row r="111" spans="2:9" ht="12.75">
      <c r="B111" s="150" t="s">
        <v>355</v>
      </c>
      <c r="C111" s="151"/>
      <c r="D111" s="132">
        <v>0</v>
      </c>
      <c r="E111" s="132">
        <v>97875</v>
      </c>
      <c r="F111" s="132">
        <f t="shared" si="15"/>
        <v>97875</v>
      </c>
      <c r="G111" s="132">
        <v>97875</v>
      </c>
      <c r="H111" s="132">
        <v>97875</v>
      </c>
      <c r="I111" s="132">
        <f t="shared" si="13"/>
        <v>0</v>
      </c>
    </row>
    <row r="112" spans="2:9" ht="12.75">
      <c r="B112" s="150" t="s">
        <v>356</v>
      </c>
      <c r="C112" s="151"/>
      <c r="D112" s="132">
        <v>0</v>
      </c>
      <c r="E112" s="132">
        <v>0</v>
      </c>
      <c r="F112" s="132">
        <f t="shared" si="15"/>
        <v>0</v>
      </c>
      <c r="G112" s="132">
        <v>0</v>
      </c>
      <c r="H112" s="132">
        <v>0</v>
      </c>
      <c r="I112" s="132">
        <f t="shared" si="13"/>
        <v>0</v>
      </c>
    </row>
    <row r="113" spans="2:9" ht="12.75">
      <c r="B113" s="150" t="s">
        <v>357</v>
      </c>
      <c r="C113" s="151"/>
      <c r="D113" s="132"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f t="shared" si="13"/>
        <v>0</v>
      </c>
    </row>
    <row r="114" spans="2:9" ht="25.5" customHeight="1">
      <c r="B114" s="244" t="s">
        <v>358</v>
      </c>
      <c r="C114" s="245"/>
      <c r="D114" s="132">
        <f>SUM(D115:D123)</f>
        <v>9542370399</v>
      </c>
      <c r="E114" s="132">
        <f>SUM(E115:E123)</f>
        <v>7785234.35</v>
      </c>
      <c r="F114" s="132">
        <f>SUM(F115:F123)</f>
        <v>9550155633.35</v>
      </c>
      <c r="G114" s="132">
        <f>SUM(G115:G123)</f>
        <v>2247418717.8</v>
      </c>
      <c r="H114" s="132">
        <f>SUM(H115:H123)</f>
        <v>2247418717.8</v>
      </c>
      <c r="I114" s="132">
        <f t="shared" si="13"/>
        <v>7302736915.55</v>
      </c>
    </row>
    <row r="115" spans="2:9" ht="12.75">
      <c r="B115" s="150" t="s">
        <v>359</v>
      </c>
      <c r="C115" s="151"/>
      <c r="D115" s="132">
        <v>9342370399</v>
      </c>
      <c r="E115" s="132">
        <v>7785234.35</v>
      </c>
      <c r="F115" s="132">
        <f>D115+E115</f>
        <v>9350155633.35</v>
      </c>
      <c r="G115" s="132">
        <v>2247418717.8</v>
      </c>
      <c r="H115" s="132">
        <v>2247418717.8</v>
      </c>
      <c r="I115" s="132">
        <f t="shared" si="13"/>
        <v>7102736915.55</v>
      </c>
    </row>
    <row r="116" spans="2:9" ht="12.75">
      <c r="B116" s="150" t="s">
        <v>360</v>
      </c>
      <c r="C116" s="151"/>
      <c r="D116" s="132">
        <v>0</v>
      </c>
      <c r="E116" s="132">
        <v>0</v>
      </c>
      <c r="F116" s="132">
        <f aca="true" t="shared" si="16" ref="F116:F123">D116+E116</f>
        <v>0</v>
      </c>
      <c r="G116" s="132">
        <v>0</v>
      </c>
      <c r="H116" s="132">
        <v>0</v>
      </c>
      <c r="I116" s="132">
        <f t="shared" si="13"/>
        <v>0</v>
      </c>
    </row>
    <row r="117" spans="2:9" ht="12.75">
      <c r="B117" s="150" t="s">
        <v>361</v>
      </c>
      <c r="C117" s="151"/>
      <c r="D117" s="132">
        <v>0</v>
      </c>
      <c r="E117" s="132">
        <v>0</v>
      </c>
      <c r="F117" s="132">
        <f t="shared" si="16"/>
        <v>0</v>
      </c>
      <c r="G117" s="132">
        <v>0</v>
      </c>
      <c r="H117" s="132">
        <v>0</v>
      </c>
      <c r="I117" s="132">
        <f t="shared" si="13"/>
        <v>0</v>
      </c>
    </row>
    <row r="118" spans="2:9" ht="12.75">
      <c r="B118" s="150" t="s">
        <v>362</v>
      </c>
      <c r="C118" s="151"/>
      <c r="D118" s="132">
        <v>0</v>
      </c>
      <c r="E118" s="132">
        <v>0</v>
      </c>
      <c r="F118" s="132">
        <f t="shared" si="16"/>
        <v>0</v>
      </c>
      <c r="G118" s="132">
        <v>0</v>
      </c>
      <c r="H118" s="132">
        <v>0</v>
      </c>
      <c r="I118" s="132">
        <f t="shared" si="13"/>
        <v>0</v>
      </c>
    </row>
    <row r="119" spans="2:9" ht="12.75">
      <c r="B119" s="150" t="s">
        <v>363</v>
      </c>
      <c r="C119" s="151"/>
      <c r="D119" s="132">
        <v>200000000</v>
      </c>
      <c r="E119" s="132">
        <v>0</v>
      </c>
      <c r="F119" s="132">
        <f t="shared" si="16"/>
        <v>200000000</v>
      </c>
      <c r="G119" s="132">
        <v>0</v>
      </c>
      <c r="H119" s="132">
        <v>0</v>
      </c>
      <c r="I119" s="132">
        <f t="shared" si="13"/>
        <v>200000000</v>
      </c>
    </row>
    <row r="120" spans="2:9" ht="12.75">
      <c r="B120" s="150" t="s">
        <v>364</v>
      </c>
      <c r="C120" s="151"/>
      <c r="D120" s="132">
        <v>0</v>
      </c>
      <c r="E120" s="132">
        <v>0</v>
      </c>
      <c r="F120" s="132">
        <f t="shared" si="16"/>
        <v>0</v>
      </c>
      <c r="G120" s="132">
        <v>0</v>
      </c>
      <c r="H120" s="132">
        <v>0</v>
      </c>
      <c r="I120" s="132">
        <f t="shared" si="13"/>
        <v>0</v>
      </c>
    </row>
    <row r="121" spans="2:9" ht="12.75">
      <c r="B121" s="150" t="s">
        <v>365</v>
      </c>
      <c r="C121" s="151"/>
      <c r="D121" s="132">
        <v>0</v>
      </c>
      <c r="E121" s="132">
        <v>0</v>
      </c>
      <c r="F121" s="132">
        <f t="shared" si="16"/>
        <v>0</v>
      </c>
      <c r="G121" s="132">
        <v>0</v>
      </c>
      <c r="H121" s="132">
        <v>0</v>
      </c>
      <c r="I121" s="132">
        <f t="shared" si="13"/>
        <v>0</v>
      </c>
    </row>
    <row r="122" spans="2:9" ht="12.75">
      <c r="B122" s="150" t="s">
        <v>366</v>
      </c>
      <c r="C122" s="151"/>
      <c r="D122" s="132">
        <v>0</v>
      </c>
      <c r="E122" s="132">
        <v>0</v>
      </c>
      <c r="F122" s="132">
        <f t="shared" si="16"/>
        <v>0</v>
      </c>
      <c r="G122" s="132">
        <v>0</v>
      </c>
      <c r="H122" s="132">
        <v>0</v>
      </c>
      <c r="I122" s="132">
        <f t="shared" si="13"/>
        <v>0</v>
      </c>
    </row>
    <row r="123" spans="2:9" ht="12.75">
      <c r="B123" s="150" t="s">
        <v>367</v>
      </c>
      <c r="C123" s="151"/>
      <c r="D123" s="132">
        <v>0</v>
      </c>
      <c r="E123" s="132">
        <v>0</v>
      </c>
      <c r="F123" s="132">
        <f t="shared" si="16"/>
        <v>0</v>
      </c>
      <c r="G123" s="132">
        <v>0</v>
      </c>
      <c r="H123" s="132">
        <v>0</v>
      </c>
      <c r="I123" s="132">
        <f t="shared" si="13"/>
        <v>0</v>
      </c>
    </row>
    <row r="124" spans="2:9" ht="12.75">
      <c r="B124" s="148" t="s">
        <v>368</v>
      </c>
      <c r="C124" s="149"/>
      <c r="D124" s="132">
        <f>SUM(D125:D133)</f>
        <v>0</v>
      </c>
      <c r="E124" s="132">
        <f>SUM(E125:E133)</f>
        <v>4968661.9799999995</v>
      </c>
      <c r="F124" s="132">
        <f>SUM(F125:F133)</f>
        <v>4968661.9799999995</v>
      </c>
      <c r="G124" s="132">
        <f>SUM(G125:G133)</f>
        <v>4968661.9799999995</v>
      </c>
      <c r="H124" s="132">
        <f>SUM(H125:H133)</f>
        <v>4968661.9799999995</v>
      </c>
      <c r="I124" s="132">
        <f t="shared" si="13"/>
        <v>0</v>
      </c>
    </row>
    <row r="125" spans="2:9" ht="12.75">
      <c r="B125" s="150" t="s">
        <v>369</v>
      </c>
      <c r="C125" s="151"/>
      <c r="D125" s="132">
        <v>0</v>
      </c>
      <c r="E125" s="132">
        <v>72780.97</v>
      </c>
      <c r="F125" s="132">
        <f>D125+E125</f>
        <v>72780.97</v>
      </c>
      <c r="G125" s="132">
        <v>72780.97</v>
      </c>
      <c r="H125" s="132">
        <v>72780.97</v>
      </c>
      <c r="I125" s="132">
        <f t="shared" si="13"/>
        <v>0</v>
      </c>
    </row>
    <row r="126" spans="2:9" ht="12.75">
      <c r="B126" s="150" t="s">
        <v>370</v>
      </c>
      <c r="C126" s="151"/>
      <c r="D126" s="132">
        <v>0</v>
      </c>
      <c r="E126" s="132">
        <v>0</v>
      </c>
      <c r="F126" s="132">
        <f aca="true" t="shared" si="17" ref="F126:F133">D126+E126</f>
        <v>0</v>
      </c>
      <c r="G126" s="132">
        <v>0</v>
      </c>
      <c r="H126" s="132">
        <v>0</v>
      </c>
      <c r="I126" s="132">
        <f t="shared" si="13"/>
        <v>0</v>
      </c>
    </row>
    <row r="127" spans="2:9" ht="12.75">
      <c r="B127" s="150" t="s">
        <v>371</v>
      </c>
      <c r="C127" s="151"/>
      <c r="D127" s="132">
        <v>0</v>
      </c>
      <c r="E127" s="132">
        <v>0</v>
      </c>
      <c r="F127" s="132">
        <f t="shared" si="17"/>
        <v>0</v>
      </c>
      <c r="G127" s="132">
        <v>0</v>
      </c>
      <c r="H127" s="132">
        <v>0</v>
      </c>
      <c r="I127" s="132">
        <f t="shared" si="13"/>
        <v>0</v>
      </c>
    </row>
    <row r="128" spans="2:9" ht="12.75">
      <c r="B128" s="150" t="s">
        <v>372</v>
      </c>
      <c r="C128" s="151"/>
      <c r="D128" s="132">
        <v>0</v>
      </c>
      <c r="E128" s="132">
        <v>4888361</v>
      </c>
      <c r="F128" s="132">
        <f t="shared" si="17"/>
        <v>4888361</v>
      </c>
      <c r="G128" s="132">
        <v>4888361</v>
      </c>
      <c r="H128" s="132">
        <v>4888361</v>
      </c>
      <c r="I128" s="132">
        <f t="shared" si="13"/>
        <v>0</v>
      </c>
    </row>
    <row r="129" spans="2:9" ht="12.75">
      <c r="B129" s="150" t="s">
        <v>373</v>
      </c>
      <c r="C129" s="151"/>
      <c r="D129" s="132">
        <v>0</v>
      </c>
      <c r="E129" s="132">
        <v>0</v>
      </c>
      <c r="F129" s="132">
        <f t="shared" si="17"/>
        <v>0</v>
      </c>
      <c r="G129" s="132">
        <v>0</v>
      </c>
      <c r="H129" s="132">
        <v>0</v>
      </c>
      <c r="I129" s="132">
        <f t="shared" si="13"/>
        <v>0</v>
      </c>
    </row>
    <row r="130" spans="2:9" ht="12.75">
      <c r="B130" s="150" t="s">
        <v>374</v>
      </c>
      <c r="C130" s="151"/>
      <c r="D130" s="132">
        <v>0</v>
      </c>
      <c r="E130" s="132">
        <v>7520.01</v>
      </c>
      <c r="F130" s="132">
        <f t="shared" si="17"/>
        <v>7520.01</v>
      </c>
      <c r="G130" s="132">
        <v>7520.01</v>
      </c>
      <c r="H130" s="132">
        <v>7520.01</v>
      </c>
      <c r="I130" s="132">
        <f t="shared" si="13"/>
        <v>0</v>
      </c>
    </row>
    <row r="131" spans="2:9" ht="12.75">
      <c r="B131" s="150" t="s">
        <v>375</v>
      </c>
      <c r="C131" s="151"/>
      <c r="D131" s="132">
        <v>0</v>
      </c>
      <c r="E131" s="132">
        <v>0</v>
      </c>
      <c r="F131" s="132">
        <f t="shared" si="17"/>
        <v>0</v>
      </c>
      <c r="G131" s="132">
        <v>0</v>
      </c>
      <c r="H131" s="132">
        <v>0</v>
      </c>
      <c r="I131" s="132">
        <f t="shared" si="13"/>
        <v>0</v>
      </c>
    </row>
    <row r="132" spans="2:9" ht="12.75">
      <c r="B132" s="150" t="s">
        <v>376</v>
      </c>
      <c r="C132" s="151"/>
      <c r="D132" s="132">
        <v>0</v>
      </c>
      <c r="E132" s="132">
        <v>0</v>
      </c>
      <c r="F132" s="132">
        <f t="shared" si="17"/>
        <v>0</v>
      </c>
      <c r="G132" s="132">
        <v>0</v>
      </c>
      <c r="H132" s="132">
        <v>0</v>
      </c>
      <c r="I132" s="132">
        <f t="shared" si="13"/>
        <v>0</v>
      </c>
    </row>
    <row r="133" spans="2:9" ht="12.75">
      <c r="B133" s="150" t="s">
        <v>377</v>
      </c>
      <c r="C133" s="151"/>
      <c r="D133" s="132">
        <v>0</v>
      </c>
      <c r="E133" s="132">
        <v>0</v>
      </c>
      <c r="F133" s="132">
        <f t="shared" si="17"/>
        <v>0</v>
      </c>
      <c r="G133" s="132">
        <v>0</v>
      </c>
      <c r="H133" s="132">
        <v>0</v>
      </c>
      <c r="I133" s="132">
        <f t="shared" si="13"/>
        <v>0</v>
      </c>
    </row>
    <row r="134" spans="2:9" ht="12.75">
      <c r="B134" s="148" t="s">
        <v>378</v>
      </c>
      <c r="C134" s="149"/>
      <c r="D134" s="132">
        <f>SUM(D135:D137)</f>
        <v>211395152</v>
      </c>
      <c r="E134" s="132">
        <f>SUM(E135:E137)</f>
        <v>98788306.23</v>
      </c>
      <c r="F134" s="132">
        <f>SUM(F135:F137)</f>
        <v>310183458.23</v>
      </c>
      <c r="G134" s="132">
        <f>SUM(G135:G137)</f>
        <v>86642255.7</v>
      </c>
      <c r="H134" s="132">
        <f>SUM(H135:H137)</f>
        <v>84962146.4</v>
      </c>
      <c r="I134" s="132">
        <f t="shared" si="13"/>
        <v>223541202.53000003</v>
      </c>
    </row>
    <row r="135" spans="2:9" ht="12.75">
      <c r="B135" s="150" t="s">
        <v>379</v>
      </c>
      <c r="C135" s="151"/>
      <c r="D135" s="132">
        <v>162000000</v>
      </c>
      <c r="E135" s="132">
        <v>129508756.23</v>
      </c>
      <c r="F135" s="132">
        <f>D135+E135</f>
        <v>291508756.23</v>
      </c>
      <c r="G135" s="132">
        <v>86642255.7</v>
      </c>
      <c r="H135" s="132">
        <v>84962146.4</v>
      </c>
      <c r="I135" s="132">
        <f t="shared" si="13"/>
        <v>204866500.53000003</v>
      </c>
    </row>
    <row r="136" spans="2:9" ht="12.75">
      <c r="B136" s="150" t="s">
        <v>380</v>
      </c>
      <c r="C136" s="151"/>
      <c r="D136" s="132">
        <v>49395152</v>
      </c>
      <c r="E136" s="132">
        <v>-30720450</v>
      </c>
      <c r="F136" s="132">
        <f>D136+E136</f>
        <v>18674702</v>
      </c>
      <c r="G136" s="132">
        <v>0</v>
      </c>
      <c r="H136" s="132">
        <v>0</v>
      </c>
      <c r="I136" s="132">
        <f t="shared" si="13"/>
        <v>18674702</v>
      </c>
    </row>
    <row r="137" spans="2:9" ht="12.75">
      <c r="B137" s="150" t="s">
        <v>381</v>
      </c>
      <c r="C137" s="151"/>
      <c r="D137" s="132">
        <v>0</v>
      </c>
      <c r="E137" s="132">
        <v>0</v>
      </c>
      <c r="F137" s="132">
        <f>D137+E137</f>
        <v>0</v>
      </c>
      <c r="G137" s="132">
        <v>0</v>
      </c>
      <c r="H137" s="132">
        <v>0</v>
      </c>
      <c r="I137" s="132">
        <f t="shared" si="13"/>
        <v>0</v>
      </c>
    </row>
    <row r="138" spans="2:9" ht="12.75">
      <c r="B138" s="148" t="s">
        <v>382</v>
      </c>
      <c r="C138" s="149"/>
      <c r="D138" s="132">
        <f>SUM(D139:D146)</f>
        <v>0</v>
      </c>
      <c r="E138" s="132">
        <f>SUM(E139:E146)</f>
        <v>0</v>
      </c>
      <c r="F138" s="132">
        <f>F139+F140+F141+F142+F143+F145+F146</f>
        <v>0</v>
      </c>
      <c r="G138" s="132">
        <f>SUM(G139:G146)</f>
        <v>0</v>
      </c>
      <c r="H138" s="132">
        <f>SUM(H139:H146)</f>
        <v>0</v>
      </c>
      <c r="I138" s="132">
        <f t="shared" si="13"/>
        <v>0</v>
      </c>
    </row>
    <row r="139" spans="2:9" ht="12.75">
      <c r="B139" s="150" t="s">
        <v>383</v>
      </c>
      <c r="C139" s="151"/>
      <c r="D139" s="132">
        <v>0</v>
      </c>
      <c r="E139" s="132">
        <v>0</v>
      </c>
      <c r="F139" s="132">
        <f>D139+E139</f>
        <v>0</v>
      </c>
      <c r="G139" s="132">
        <v>0</v>
      </c>
      <c r="H139" s="132">
        <v>0</v>
      </c>
      <c r="I139" s="132">
        <f t="shared" si="13"/>
        <v>0</v>
      </c>
    </row>
    <row r="140" spans="2:9" ht="12.75">
      <c r="B140" s="150" t="s">
        <v>384</v>
      </c>
      <c r="C140" s="151"/>
      <c r="D140" s="132">
        <v>0</v>
      </c>
      <c r="E140" s="132">
        <v>0</v>
      </c>
      <c r="F140" s="132">
        <f aca="true" t="shared" si="18" ref="F140:F146">D140+E140</f>
        <v>0</v>
      </c>
      <c r="G140" s="132">
        <v>0</v>
      </c>
      <c r="H140" s="132">
        <v>0</v>
      </c>
      <c r="I140" s="132">
        <f t="shared" si="13"/>
        <v>0</v>
      </c>
    </row>
    <row r="141" spans="2:9" ht="12.75">
      <c r="B141" s="150" t="s">
        <v>385</v>
      </c>
      <c r="C141" s="151"/>
      <c r="D141" s="132">
        <v>0</v>
      </c>
      <c r="E141" s="132">
        <v>0</v>
      </c>
      <c r="F141" s="132">
        <f t="shared" si="18"/>
        <v>0</v>
      </c>
      <c r="G141" s="132">
        <v>0</v>
      </c>
      <c r="H141" s="132">
        <v>0</v>
      </c>
      <c r="I141" s="132">
        <f t="shared" si="13"/>
        <v>0</v>
      </c>
    </row>
    <row r="142" spans="2:9" ht="12.75">
      <c r="B142" s="150" t="s">
        <v>386</v>
      </c>
      <c r="C142" s="151"/>
      <c r="D142" s="132">
        <v>0</v>
      </c>
      <c r="E142" s="132">
        <v>0</v>
      </c>
      <c r="F142" s="132">
        <f t="shared" si="18"/>
        <v>0</v>
      </c>
      <c r="G142" s="132">
        <v>0</v>
      </c>
      <c r="H142" s="132">
        <v>0</v>
      </c>
      <c r="I142" s="132">
        <f t="shared" si="13"/>
        <v>0</v>
      </c>
    </row>
    <row r="143" spans="2:9" ht="12.75">
      <c r="B143" s="150" t="s">
        <v>387</v>
      </c>
      <c r="C143" s="151"/>
      <c r="D143" s="132">
        <v>0</v>
      </c>
      <c r="E143" s="132">
        <v>0</v>
      </c>
      <c r="F143" s="132">
        <f t="shared" si="18"/>
        <v>0</v>
      </c>
      <c r="G143" s="132">
        <v>0</v>
      </c>
      <c r="H143" s="132">
        <v>0</v>
      </c>
      <c r="I143" s="132">
        <f t="shared" si="13"/>
        <v>0</v>
      </c>
    </row>
    <row r="144" spans="2:9" ht="12.75">
      <c r="B144" s="150" t="s">
        <v>388</v>
      </c>
      <c r="C144" s="151"/>
      <c r="D144" s="132">
        <v>0</v>
      </c>
      <c r="E144" s="132">
        <v>0</v>
      </c>
      <c r="F144" s="132">
        <f t="shared" si="18"/>
        <v>0</v>
      </c>
      <c r="G144" s="132">
        <v>0</v>
      </c>
      <c r="H144" s="132">
        <v>0</v>
      </c>
      <c r="I144" s="132">
        <f t="shared" si="13"/>
        <v>0</v>
      </c>
    </row>
    <row r="145" spans="2:9" ht="12.75">
      <c r="B145" s="150" t="s">
        <v>389</v>
      </c>
      <c r="C145" s="151"/>
      <c r="D145" s="132">
        <v>0</v>
      </c>
      <c r="E145" s="132">
        <v>0</v>
      </c>
      <c r="F145" s="132">
        <f t="shared" si="18"/>
        <v>0</v>
      </c>
      <c r="G145" s="132">
        <v>0</v>
      </c>
      <c r="H145" s="132">
        <v>0</v>
      </c>
      <c r="I145" s="132">
        <f t="shared" si="13"/>
        <v>0</v>
      </c>
    </row>
    <row r="146" spans="2:9" ht="12.75">
      <c r="B146" s="150" t="s">
        <v>390</v>
      </c>
      <c r="C146" s="151"/>
      <c r="D146" s="132">
        <v>0</v>
      </c>
      <c r="E146" s="132">
        <v>0</v>
      </c>
      <c r="F146" s="132">
        <f t="shared" si="18"/>
        <v>0</v>
      </c>
      <c r="G146" s="132">
        <v>0</v>
      </c>
      <c r="H146" s="132">
        <v>0</v>
      </c>
      <c r="I146" s="132">
        <f t="shared" si="13"/>
        <v>0</v>
      </c>
    </row>
    <row r="147" spans="2:9" ht="12.75">
      <c r="B147" s="148" t="s">
        <v>391</v>
      </c>
      <c r="C147" s="149"/>
      <c r="D147" s="132">
        <f>SUM(D148:D150)</f>
        <v>1362475880</v>
      </c>
      <c r="E147" s="132">
        <f>SUM(E148:E150)</f>
        <v>74219522.14</v>
      </c>
      <c r="F147" s="132">
        <f>SUM(F148:F150)</f>
        <v>1436695402.1399999</v>
      </c>
      <c r="G147" s="132">
        <f>SUM(G148:G150)</f>
        <v>398060179.29</v>
      </c>
      <c r="H147" s="132">
        <f>SUM(H148:H150)</f>
        <v>398060179.29</v>
      </c>
      <c r="I147" s="132">
        <f t="shared" si="13"/>
        <v>1038635222.8499999</v>
      </c>
    </row>
    <row r="148" spans="2:9" ht="12.75">
      <c r="B148" s="150" t="s">
        <v>392</v>
      </c>
      <c r="C148" s="151"/>
      <c r="D148" s="132">
        <v>0</v>
      </c>
      <c r="E148" s="132">
        <v>0</v>
      </c>
      <c r="F148" s="132">
        <f>D148+E148</f>
        <v>0</v>
      </c>
      <c r="G148" s="132">
        <v>0</v>
      </c>
      <c r="H148" s="132">
        <v>0</v>
      </c>
      <c r="I148" s="132">
        <f t="shared" si="13"/>
        <v>0</v>
      </c>
    </row>
    <row r="149" spans="2:9" ht="12.75">
      <c r="B149" s="150" t="s">
        <v>393</v>
      </c>
      <c r="C149" s="151"/>
      <c r="D149" s="132">
        <v>1268210098</v>
      </c>
      <c r="E149" s="132">
        <v>0</v>
      </c>
      <c r="F149" s="132">
        <f>D149+E149</f>
        <v>1268210098</v>
      </c>
      <c r="G149" s="132">
        <v>348972399.36</v>
      </c>
      <c r="H149" s="132">
        <v>348972399.36</v>
      </c>
      <c r="I149" s="132">
        <f t="shared" si="13"/>
        <v>919237698.64</v>
      </c>
    </row>
    <row r="150" spans="2:9" ht="12.75">
      <c r="B150" s="150" t="s">
        <v>394</v>
      </c>
      <c r="C150" s="151"/>
      <c r="D150" s="132">
        <v>94265782</v>
      </c>
      <c r="E150" s="132">
        <v>74219522.14</v>
      </c>
      <c r="F150" s="132">
        <f>D150+E150</f>
        <v>168485304.14</v>
      </c>
      <c r="G150" s="132">
        <v>49087779.93</v>
      </c>
      <c r="H150" s="132">
        <v>49087779.93</v>
      </c>
      <c r="I150" s="132">
        <f aca="true" t="shared" si="19" ref="I150:I158">F150-G150</f>
        <v>119397524.20999998</v>
      </c>
    </row>
    <row r="151" spans="2:9" ht="12.75">
      <c r="B151" s="148" t="s">
        <v>395</v>
      </c>
      <c r="C151" s="149"/>
      <c r="D151" s="132">
        <f>SUM(D152:D158)</f>
        <v>234325298</v>
      </c>
      <c r="E151" s="132">
        <f>SUM(E152:E158)</f>
        <v>0</v>
      </c>
      <c r="F151" s="132">
        <f>SUM(F152:F158)</f>
        <v>234325298</v>
      </c>
      <c r="G151" s="132">
        <f>SUM(G152:G158)</f>
        <v>0</v>
      </c>
      <c r="H151" s="132">
        <f>SUM(H152:H158)</f>
        <v>0</v>
      </c>
      <c r="I151" s="132">
        <f t="shared" si="19"/>
        <v>234325298</v>
      </c>
    </row>
    <row r="152" spans="2:9" ht="12.75">
      <c r="B152" s="150" t="s">
        <v>396</v>
      </c>
      <c r="C152" s="151"/>
      <c r="D152" s="132">
        <v>77285736</v>
      </c>
      <c r="E152" s="132">
        <v>0</v>
      </c>
      <c r="F152" s="132">
        <f>D152+E152</f>
        <v>77285736</v>
      </c>
      <c r="G152" s="132">
        <v>0</v>
      </c>
      <c r="H152" s="132">
        <v>0</v>
      </c>
      <c r="I152" s="132">
        <f t="shared" si="19"/>
        <v>77285736</v>
      </c>
    </row>
    <row r="153" spans="2:9" ht="12.75">
      <c r="B153" s="150" t="s">
        <v>397</v>
      </c>
      <c r="C153" s="151"/>
      <c r="D153" s="132">
        <v>157039562</v>
      </c>
      <c r="E153" s="132">
        <v>0</v>
      </c>
      <c r="F153" s="132">
        <v>157039562</v>
      </c>
      <c r="G153" s="132">
        <v>0</v>
      </c>
      <c r="H153" s="132">
        <v>0</v>
      </c>
      <c r="I153" s="132">
        <f t="shared" si="19"/>
        <v>157039562</v>
      </c>
    </row>
    <row r="154" spans="2:9" ht="12.75">
      <c r="B154" s="150" t="s">
        <v>398</v>
      </c>
      <c r="C154" s="151"/>
      <c r="D154" s="132">
        <v>0</v>
      </c>
      <c r="E154" s="132">
        <v>0</v>
      </c>
      <c r="F154" s="132">
        <f>D154+E154</f>
        <v>0</v>
      </c>
      <c r="G154" s="132">
        <v>0</v>
      </c>
      <c r="H154" s="132">
        <v>0</v>
      </c>
      <c r="I154" s="132">
        <f t="shared" si="19"/>
        <v>0</v>
      </c>
    </row>
    <row r="155" spans="2:9" ht="12.75">
      <c r="B155" s="150" t="s">
        <v>399</v>
      </c>
      <c r="C155" s="151"/>
      <c r="D155" s="132">
        <v>0</v>
      </c>
      <c r="E155" s="132">
        <v>0</v>
      </c>
      <c r="F155" s="132">
        <f>D155+E155</f>
        <v>0</v>
      </c>
      <c r="G155" s="132">
        <v>0</v>
      </c>
      <c r="H155" s="132">
        <v>0</v>
      </c>
      <c r="I155" s="132">
        <f t="shared" si="19"/>
        <v>0</v>
      </c>
    </row>
    <row r="156" spans="2:9" ht="12.75">
      <c r="B156" s="150" t="s">
        <v>400</v>
      </c>
      <c r="C156" s="151"/>
      <c r="D156" s="132">
        <v>0</v>
      </c>
      <c r="E156" s="132">
        <v>0</v>
      </c>
      <c r="F156" s="132">
        <f>D156+E156</f>
        <v>0</v>
      </c>
      <c r="G156" s="132">
        <v>0</v>
      </c>
      <c r="H156" s="132">
        <v>0</v>
      </c>
      <c r="I156" s="132">
        <f t="shared" si="19"/>
        <v>0</v>
      </c>
    </row>
    <row r="157" spans="2:9" ht="12.75">
      <c r="B157" s="150" t="s">
        <v>401</v>
      </c>
      <c r="C157" s="151"/>
      <c r="D157" s="132">
        <v>0</v>
      </c>
      <c r="E157" s="132">
        <v>0</v>
      </c>
      <c r="F157" s="132">
        <f>D157+E157</f>
        <v>0</v>
      </c>
      <c r="G157" s="132">
        <v>0</v>
      </c>
      <c r="H157" s="132">
        <v>0</v>
      </c>
      <c r="I157" s="132">
        <f t="shared" si="19"/>
        <v>0</v>
      </c>
    </row>
    <row r="158" spans="2:9" ht="12.75">
      <c r="B158" s="150" t="s">
        <v>402</v>
      </c>
      <c r="C158" s="151"/>
      <c r="D158" s="132">
        <v>0</v>
      </c>
      <c r="E158" s="132">
        <v>0</v>
      </c>
      <c r="F158" s="132">
        <f>D158+E158</f>
        <v>0</v>
      </c>
      <c r="G158" s="132">
        <v>0</v>
      </c>
      <c r="H158" s="132">
        <v>0</v>
      </c>
      <c r="I158" s="132">
        <f t="shared" si="19"/>
        <v>0</v>
      </c>
    </row>
    <row r="159" spans="2:9" ht="12.75">
      <c r="B159" s="148"/>
      <c r="C159" s="149"/>
      <c r="D159" s="132"/>
      <c r="E159" s="125"/>
      <c r="F159" s="125"/>
      <c r="G159" s="125"/>
      <c r="H159" s="125"/>
      <c r="I159" s="125"/>
    </row>
    <row r="160" spans="2:9" ht="12.75">
      <c r="B160" s="162" t="s">
        <v>404</v>
      </c>
      <c r="C160" s="163"/>
      <c r="D160" s="147">
        <f aca="true" t="shared" si="20" ref="D160:I160">D10+D85</f>
        <v>19645122596</v>
      </c>
      <c r="E160" s="164">
        <f t="shared" si="20"/>
        <v>296277681.38</v>
      </c>
      <c r="F160" s="147">
        <f t="shared" si="20"/>
        <v>19941400277.379997</v>
      </c>
      <c r="G160" s="147">
        <f t="shared" si="20"/>
        <v>4892302464.139999</v>
      </c>
      <c r="H160" s="147">
        <f t="shared" si="20"/>
        <v>4845720140.53</v>
      </c>
      <c r="I160" s="147">
        <f t="shared" si="20"/>
        <v>15049097813.240002</v>
      </c>
    </row>
    <row r="161" spans="2:9" ht="13.5" thickBot="1">
      <c r="B161" s="165"/>
      <c r="C161" s="166"/>
      <c r="D161" s="167"/>
      <c r="E161" s="141"/>
      <c r="F161" s="141"/>
      <c r="G161" s="141"/>
      <c r="H161" s="141"/>
      <c r="I161" s="141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84" max="255" man="1"/>
  </rowBreaks>
  <ignoredErrors>
    <ignoredError sqref="F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8" width="15.140625" style="1" customWidth="1"/>
    <col min="9" max="16384" width="11.00390625" style="1" customWidth="1"/>
  </cols>
  <sheetData>
    <row r="1" ht="13.5" thickBot="1"/>
    <row r="2" spans="2:8" ht="12.75">
      <c r="B2" s="246" t="s">
        <v>120</v>
      </c>
      <c r="C2" s="247"/>
      <c r="D2" s="247"/>
      <c r="E2" s="247"/>
      <c r="F2" s="247"/>
      <c r="G2" s="247"/>
      <c r="H2" s="248"/>
    </row>
    <row r="3" spans="2:8" ht="12.75">
      <c r="B3" s="203" t="s">
        <v>323</v>
      </c>
      <c r="C3" s="204"/>
      <c r="D3" s="204"/>
      <c r="E3" s="204"/>
      <c r="F3" s="204"/>
      <c r="G3" s="204"/>
      <c r="H3" s="205"/>
    </row>
    <row r="4" spans="2:8" ht="12.75">
      <c r="B4" s="203" t="s">
        <v>405</v>
      </c>
      <c r="C4" s="204"/>
      <c r="D4" s="204"/>
      <c r="E4" s="204"/>
      <c r="F4" s="204"/>
      <c r="G4" s="204"/>
      <c r="H4" s="205"/>
    </row>
    <row r="5" spans="2:8" ht="12.75">
      <c r="B5" s="203" t="s">
        <v>125</v>
      </c>
      <c r="C5" s="204"/>
      <c r="D5" s="204"/>
      <c r="E5" s="204"/>
      <c r="F5" s="204"/>
      <c r="G5" s="204"/>
      <c r="H5" s="205"/>
    </row>
    <row r="6" spans="2:8" ht="13.5" thickBot="1">
      <c r="B6" s="206" t="s">
        <v>1</v>
      </c>
      <c r="C6" s="207"/>
      <c r="D6" s="207"/>
      <c r="E6" s="207"/>
      <c r="F6" s="207"/>
      <c r="G6" s="207"/>
      <c r="H6" s="208"/>
    </row>
    <row r="7" spans="2:8" ht="13.5" thickBot="1">
      <c r="B7" s="233" t="s">
        <v>2</v>
      </c>
      <c r="C7" s="249" t="s">
        <v>325</v>
      </c>
      <c r="D7" s="250"/>
      <c r="E7" s="250"/>
      <c r="F7" s="250"/>
      <c r="G7" s="251"/>
      <c r="H7" s="233" t="s">
        <v>326</v>
      </c>
    </row>
    <row r="8" spans="2:8" ht="26.25" thickBot="1">
      <c r="B8" s="234"/>
      <c r="C8" s="32" t="s">
        <v>216</v>
      </c>
      <c r="D8" s="32" t="s">
        <v>258</v>
      </c>
      <c r="E8" s="32" t="s">
        <v>259</v>
      </c>
      <c r="F8" s="32" t="s">
        <v>214</v>
      </c>
      <c r="G8" s="32" t="s">
        <v>233</v>
      </c>
      <c r="H8" s="234"/>
    </row>
    <row r="9" spans="2:8" ht="12.75">
      <c r="B9" s="168" t="s">
        <v>406</v>
      </c>
      <c r="C9" s="169">
        <f aca="true" t="shared" si="0" ref="C9:H9">+C10+C11+C27+C28+C29</f>
        <v>8291955867</v>
      </c>
      <c r="D9" s="169">
        <f t="shared" si="0"/>
        <v>0</v>
      </c>
      <c r="E9" s="169">
        <f t="shared" si="0"/>
        <v>8291955867</v>
      </c>
      <c r="F9" s="169">
        <f t="shared" si="0"/>
        <v>2049255490.79</v>
      </c>
      <c r="G9" s="169">
        <f t="shared" si="0"/>
        <v>2004730532.8000002</v>
      </c>
      <c r="H9" s="169">
        <f t="shared" si="0"/>
        <v>6242700376.209999</v>
      </c>
    </row>
    <row r="10" spans="2:8" ht="12.75" customHeight="1">
      <c r="B10" s="170" t="s">
        <v>407</v>
      </c>
      <c r="C10" s="171">
        <v>277184439</v>
      </c>
      <c r="D10" s="171">
        <v>0</v>
      </c>
      <c r="E10" s="171">
        <f>C10+D10</f>
        <v>277184439</v>
      </c>
      <c r="F10" s="171">
        <v>74552534.18</v>
      </c>
      <c r="G10" s="171">
        <v>74552534.18</v>
      </c>
      <c r="H10" s="172">
        <f>E10-F10</f>
        <v>202631904.82</v>
      </c>
    </row>
    <row r="11" spans="2:8" ht="12.75">
      <c r="B11" s="170" t="s">
        <v>408</v>
      </c>
      <c r="C11" s="173">
        <f>SUM(C12:C26)</f>
        <v>5315319266</v>
      </c>
      <c r="D11" s="173">
        <f>SUM(D12:D26)</f>
        <v>0</v>
      </c>
      <c r="E11" s="173">
        <f>SUM(E12:E26)</f>
        <v>5315319266</v>
      </c>
      <c r="F11" s="173">
        <f>SUM(F12:F26)</f>
        <v>1210527129.87</v>
      </c>
      <c r="G11" s="173">
        <f>SUM(G12:G26)</f>
        <v>1176637742.22</v>
      </c>
      <c r="H11" s="172">
        <f aca="true" t="shared" si="1" ref="H11:H29">E11-F11</f>
        <v>4104792136.13</v>
      </c>
    </row>
    <row r="12" spans="2:8" ht="12.75">
      <c r="B12" s="174" t="s">
        <v>409</v>
      </c>
      <c r="C12" s="17">
        <v>68611489.48</v>
      </c>
      <c r="D12" s="17">
        <v>9840.07</v>
      </c>
      <c r="E12" s="17">
        <f>+C12+D12</f>
        <v>68621329.55</v>
      </c>
      <c r="F12" s="17">
        <v>14216102.9</v>
      </c>
      <c r="G12" s="17">
        <v>13864099.44</v>
      </c>
      <c r="H12" s="153">
        <f t="shared" si="1"/>
        <v>54405226.65</v>
      </c>
    </row>
    <row r="13" spans="2:8" ht="12.75">
      <c r="B13" s="174" t="s">
        <v>410</v>
      </c>
      <c r="C13" s="17">
        <v>282605857.41</v>
      </c>
      <c r="D13" s="17">
        <v>-10710258.98</v>
      </c>
      <c r="E13" s="17">
        <f aca="true" t="shared" si="2" ref="E13:E29">+C13+D13</f>
        <v>271895598.43</v>
      </c>
      <c r="F13" s="17">
        <v>50722092.78</v>
      </c>
      <c r="G13" s="17">
        <v>50114989.9</v>
      </c>
      <c r="H13" s="153">
        <f t="shared" si="1"/>
        <v>221173505.65</v>
      </c>
    </row>
    <row r="14" spans="2:8" ht="12.75">
      <c r="B14" s="174" t="s">
        <v>411</v>
      </c>
      <c r="C14" s="17">
        <v>414915516.05</v>
      </c>
      <c r="D14" s="17">
        <v>-3891909.59</v>
      </c>
      <c r="E14" s="17">
        <f t="shared" si="2"/>
        <v>411023606.46000004</v>
      </c>
      <c r="F14" s="17">
        <v>78811550.29</v>
      </c>
      <c r="G14" s="17">
        <v>76236659.23</v>
      </c>
      <c r="H14" s="153">
        <f t="shared" si="1"/>
        <v>332212056.17</v>
      </c>
    </row>
    <row r="15" spans="2:8" ht="12.75">
      <c r="B15" s="174" t="s">
        <v>412</v>
      </c>
      <c r="C15" s="17">
        <f>552591607.7</f>
        <v>552591607.7</v>
      </c>
      <c r="D15" s="17">
        <f>-2122914.16</f>
        <v>-2122914.16</v>
      </c>
      <c r="E15" s="17">
        <f t="shared" si="2"/>
        <v>550468693.5400001</v>
      </c>
      <c r="F15" s="17">
        <v>103731804.61</v>
      </c>
      <c r="G15" s="17">
        <v>103118446.22</v>
      </c>
      <c r="H15" s="153">
        <f t="shared" si="1"/>
        <v>446736888.93000007</v>
      </c>
    </row>
    <row r="16" spans="2:8" ht="12.75" customHeight="1">
      <c r="B16" s="174" t="s">
        <v>413</v>
      </c>
      <c r="C16" s="17">
        <f>62030268.36</f>
        <v>62030268.36</v>
      </c>
      <c r="D16" s="17">
        <f>-519320.82</f>
        <v>-519320.82</v>
      </c>
      <c r="E16" s="17">
        <f t="shared" si="2"/>
        <v>61510947.54</v>
      </c>
      <c r="F16" s="17">
        <v>10918730.46</v>
      </c>
      <c r="G16" s="17">
        <v>10735109.95</v>
      </c>
      <c r="H16" s="153">
        <f t="shared" si="1"/>
        <v>50592217.08</v>
      </c>
    </row>
    <row r="17" spans="2:8" ht="12.75">
      <c r="B17" s="174" t="s">
        <v>414</v>
      </c>
      <c r="C17" s="17">
        <f>831139502.63</f>
        <v>831139502.63</v>
      </c>
      <c r="D17" s="17">
        <f>-16955249.31</f>
        <v>-16955249.31</v>
      </c>
      <c r="E17" s="17">
        <f t="shared" si="2"/>
        <v>814184253.32</v>
      </c>
      <c r="F17" s="17">
        <v>120341922.97</v>
      </c>
      <c r="G17" s="17">
        <v>120017776.13</v>
      </c>
      <c r="H17" s="153">
        <f t="shared" si="1"/>
        <v>693842330.35</v>
      </c>
    </row>
    <row r="18" spans="2:8" ht="12.75">
      <c r="B18" s="174" t="s">
        <v>415</v>
      </c>
      <c r="C18" s="17">
        <v>43382880.14</v>
      </c>
      <c r="D18" s="17">
        <v>-433538.83</v>
      </c>
      <c r="E18" s="17">
        <f t="shared" si="2"/>
        <v>42949341.31</v>
      </c>
      <c r="F18" s="17">
        <v>8049968.86</v>
      </c>
      <c r="G18" s="17">
        <v>7897942.25</v>
      </c>
      <c r="H18" s="153">
        <f t="shared" si="1"/>
        <v>34899372.45</v>
      </c>
    </row>
    <row r="19" spans="2:8" ht="12.75">
      <c r="B19" s="174" t="s">
        <v>416</v>
      </c>
      <c r="C19" s="17">
        <v>48929826.57</v>
      </c>
      <c r="D19" s="17">
        <v>-191596.85</v>
      </c>
      <c r="E19" s="17">
        <f t="shared" si="2"/>
        <v>48738229.72</v>
      </c>
      <c r="F19" s="17">
        <v>8744603.27</v>
      </c>
      <c r="G19" s="17">
        <v>8531827.99</v>
      </c>
      <c r="H19" s="153">
        <f t="shared" si="1"/>
        <v>39993626.45</v>
      </c>
    </row>
    <row r="20" spans="2:8" ht="12.75" customHeight="1">
      <c r="B20" s="174" t="s">
        <v>417</v>
      </c>
      <c r="C20" s="17">
        <v>98028836.31</v>
      </c>
      <c r="D20" s="17">
        <v>-4213937.75</v>
      </c>
      <c r="E20" s="17">
        <f t="shared" si="2"/>
        <v>93814898.56</v>
      </c>
      <c r="F20" s="17">
        <v>18507839.26</v>
      </c>
      <c r="G20" s="17">
        <v>18386063.36</v>
      </c>
      <c r="H20" s="153">
        <f t="shared" si="1"/>
        <v>75307059.3</v>
      </c>
    </row>
    <row r="21" spans="2:8" ht="12.75">
      <c r="B21" s="174" t="s">
        <v>418</v>
      </c>
      <c r="C21" s="17">
        <f>135746293.22</f>
        <v>135746293.22</v>
      </c>
      <c r="D21" s="17">
        <f>-1744763.8</f>
        <v>-1744763.8</v>
      </c>
      <c r="E21" s="17">
        <f t="shared" si="2"/>
        <v>134001529.42</v>
      </c>
      <c r="F21" s="17">
        <v>46955848.71</v>
      </c>
      <c r="G21" s="17">
        <v>46577492.2</v>
      </c>
      <c r="H21" s="153">
        <f t="shared" si="1"/>
        <v>87045680.71000001</v>
      </c>
    </row>
    <row r="22" spans="2:8" ht="12.75">
      <c r="B22" s="174" t="s">
        <v>419</v>
      </c>
      <c r="C22" s="17">
        <f>303943903.25</f>
        <v>303943903.25</v>
      </c>
      <c r="D22" s="17">
        <f>-270998.49</f>
        <v>-270998.49</v>
      </c>
      <c r="E22" s="17">
        <f t="shared" si="2"/>
        <v>303672904.76</v>
      </c>
      <c r="F22" s="17">
        <v>54979333.82</v>
      </c>
      <c r="G22" s="17">
        <v>54327492.07</v>
      </c>
      <c r="H22" s="153">
        <f t="shared" si="1"/>
        <v>248693570.94</v>
      </c>
    </row>
    <row r="23" spans="2:8" ht="12.75">
      <c r="B23" s="174" t="s">
        <v>420</v>
      </c>
      <c r="C23" s="17">
        <f>644479862.04</f>
        <v>644479862.04</v>
      </c>
      <c r="D23" s="17">
        <f>-3741822.71</f>
        <v>-3741822.71</v>
      </c>
      <c r="E23" s="17">
        <f t="shared" si="2"/>
        <v>640738039.3299999</v>
      </c>
      <c r="F23" s="17">
        <v>128797166.75</v>
      </c>
      <c r="G23" s="17">
        <v>119038969.88</v>
      </c>
      <c r="H23" s="153">
        <f t="shared" si="1"/>
        <v>511940872.5799999</v>
      </c>
    </row>
    <row r="24" spans="2:8" ht="12.75">
      <c r="B24" s="174" t="s">
        <v>421</v>
      </c>
      <c r="C24" s="17">
        <f>377333038.13</f>
        <v>377333038.13</v>
      </c>
      <c r="D24" s="17">
        <f>-3617074.44</f>
        <v>-3617074.44</v>
      </c>
      <c r="E24" s="17">
        <f t="shared" si="2"/>
        <v>373715963.69</v>
      </c>
      <c r="F24" s="17">
        <f>157531138.83</f>
        <v>157531138.83</v>
      </c>
      <c r="G24" s="17">
        <f>156578235.58</f>
        <v>156578235.58</v>
      </c>
      <c r="H24" s="153">
        <f t="shared" si="1"/>
        <v>216184824.85999998</v>
      </c>
    </row>
    <row r="25" spans="2:8" ht="12.75">
      <c r="B25" s="174" t="s">
        <v>422</v>
      </c>
      <c r="C25" s="17">
        <f>178476999.99</f>
        <v>178476999.99</v>
      </c>
      <c r="D25" s="17">
        <v>0</v>
      </c>
      <c r="E25" s="17">
        <f t="shared" si="2"/>
        <v>178476999.99</v>
      </c>
      <c r="F25" s="17">
        <v>45089537.22</v>
      </c>
      <c r="G25" s="17">
        <v>45089537.22</v>
      </c>
      <c r="H25" s="153">
        <f t="shared" si="1"/>
        <v>133387462.77000001</v>
      </c>
    </row>
    <row r="26" spans="2:8" ht="12.75">
      <c r="B26" s="174" t="s">
        <v>423</v>
      </c>
      <c r="C26" s="17">
        <f>1273103384.72</f>
        <v>1273103384.72</v>
      </c>
      <c r="D26" s="17">
        <f>48403545.66</f>
        <v>48403545.66</v>
      </c>
      <c r="E26" s="17">
        <f t="shared" si="2"/>
        <v>1321506930.38</v>
      </c>
      <c r="F26" s="17">
        <f>363129489.14</f>
        <v>363129489.14</v>
      </c>
      <c r="G26" s="17">
        <f>346123100.8</f>
        <v>346123100.8</v>
      </c>
      <c r="H26" s="153">
        <f t="shared" si="1"/>
        <v>958377441.2400001</v>
      </c>
    </row>
    <row r="27" spans="2:8" ht="12.75">
      <c r="B27" s="170" t="s">
        <v>424</v>
      </c>
      <c r="C27" s="173">
        <v>325000000</v>
      </c>
      <c r="D27" s="173">
        <v>0</v>
      </c>
      <c r="E27" s="173">
        <f t="shared" si="2"/>
        <v>325000000</v>
      </c>
      <c r="F27" s="173">
        <v>89536100.21</v>
      </c>
      <c r="G27" s="173">
        <v>89536100.21</v>
      </c>
      <c r="H27" s="172">
        <f t="shared" si="1"/>
        <v>235463899.79000002</v>
      </c>
    </row>
    <row r="28" spans="2:8" ht="12.75">
      <c r="B28" s="170" t="s">
        <v>425</v>
      </c>
      <c r="C28" s="173">
        <v>481540790</v>
      </c>
      <c r="D28" s="173">
        <v>0</v>
      </c>
      <c r="E28" s="173">
        <f t="shared" si="2"/>
        <v>481540790</v>
      </c>
      <c r="F28" s="173">
        <v>149331272.8</v>
      </c>
      <c r="G28" s="173">
        <v>144125442.34</v>
      </c>
      <c r="H28" s="172">
        <f t="shared" si="1"/>
        <v>332209517.2</v>
      </c>
    </row>
    <row r="29" spans="2:8" ht="12.75">
      <c r="B29" s="170" t="s">
        <v>426</v>
      </c>
      <c r="C29" s="173">
        <v>1892911372</v>
      </c>
      <c r="D29" s="173">
        <v>0</v>
      </c>
      <c r="E29" s="173">
        <f t="shared" si="2"/>
        <v>1892911372</v>
      </c>
      <c r="F29" s="173">
        <v>525308453.73</v>
      </c>
      <c r="G29" s="173">
        <v>519878713.85</v>
      </c>
      <c r="H29" s="172">
        <f t="shared" si="1"/>
        <v>1367602918.27</v>
      </c>
    </row>
    <row r="30" spans="2:8" ht="12.75">
      <c r="B30" s="175"/>
      <c r="C30" s="17"/>
      <c r="D30" s="17"/>
      <c r="E30" s="17"/>
      <c r="F30" s="17"/>
      <c r="G30" s="17"/>
      <c r="H30" s="17"/>
    </row>
    <row r="31" spans="2:8" ht="12.75" customHeight="1">
      <c r="B31" s="176" t="s">
        <v>427</v>
      </c>
      <c r="C31" s="177">
        <f aca="true" t="shared" si="3" ref="C31:H31">SUM(C32:C47)</f>
        <v>11353166729</v>
      </c>
      <c r="D31" s="177">
        <f t="shared" si="3"/>
        <v>296277681.37999994</v>
      </c>
      <c r="E31" s="177">
        <f t="shared" si="3"/>
        <v>11649444410.38</v>
      </c>
      <c r="F31" s="177">
        <f t="shared" si="3"/>
        <v>2843046973.3500004</v>
      </c>
      <c r="G31" s="177">
        <f t="shared" si="3"/>
        <v>2840989607.7300005</v>
      </c>
      <c r="H31" s="177">
        <f t="shared" si="3"/>
        <v>8806397437.029999</v>
      </c>
    </row>
    <row r="32" spans="2:8" ht="12.75">
      <c r="B32" s="170" t="s">
        <v>428</v>
      </c>
      <c r="C32" s="24">
        <v>2754012686</v>
      </c>
      <c r="D32" s="24">
        <v>54167491.96</v>
      </c>
      <c r="E32" s="17">
        <f aca="true" t="shared" si="4" ref="E32:E47">+C32+D32</f>
        <v>2808180177.96</v>
      </c>
      <c r="F32" s="24">
        <v>948934966.32</v>
      </c>
      <c r="G32" s="24">
        <v>948934966.32</v>
      </c>
      <c r="H32" s="24">
        <f>E32-F32</f>
        <v>1859245211.6399999</v>
      </c>
    </row>
    <row r="33" spans="2:8" ht="12.75">
      <c r="B33" s="170" t="s">
        <v>429</v>
      </c>
      <c r="C33" s="25">
        <v>0</v>
      </c>
      <c r="D33" s="24">
        <v>0</v>
      </c>
      <c r="E33" s="17">
        <f t="shared" si="4"/>
        <v>0</v>
      </c>
      <c r="F33" s="24">
        <v>0</v>
      </c>
      <c r="G33" s="24">
        <v>0</v>
      </c>
      <c r="H33" s="153">
        <f aca="true" t="shared" si="5" ref="H33:H47">E33-F33</f>
        <v>0</v>
      </c>
    </row>
    <row r="34" spans="2:8" ht="12.75">
      <c r="B34" s="170" t="s">
        <v>430</v>
      </c>
      <c r="C34" s="25">
        <v>0</v>
      </c>
      <c r="D34" s="24">
        <v>0</v>
      </c>
      <c r="E34" s="17">
        <f t="shared" si="4"/>
        <v>0</v>
      </c>
      <c r="F34" s="24">
        <v>0</v>
      </c>
      <c r="G34" s="24">
        <v>0</v>
      </c>
      <c r="H34" s="153">
        <f t="shared" si="5"/>
        <v>0</v>
      </c>
    </row>
    <row r="35" spans="2:8" ht="12.75">
      <c r="B35" s="170" t="s">
        <v>431</v>
      </c>
      <c r="C35" s="25">
        <v>0</v>
      </c>
      <c r="D35" s="24">
        <v>0</v>
      </c>
      <c r="E35" s="17">
        <f t="shared" si="4"/>
        <v>0</v>
      </c>
      <c r="F35" s="24">
        <v>0</v>
      </c>
      <c r="G35" s="24">
        <v>0</v>
      </c>
      <c r="H35" s="153">
        <f t="shared" si="5"/>
        <v>0</v>
      </c>
    </row>
    <row r="36" spans="2:8" ht="12.75">
      <c r="B36" s="170" t="s">
        <v>432</v>
      </c>
      <c r="C36" s="17">
        <v>239325298</v>
      </c>
      <c r="D36" s="24">
        <v>48116680.83</v>
      </c>
      <c r="E36" s="17">
        <f t="shared" si="4"/>
        <v>287441978.83</v>
      </c>
      <c r="F36" s="24">
        <v>5250180.3</v>
      </c>
      <c r="G36" s="24">
        <v>5250180.3</v>
      </c>
      <c r="H36" s="153">
        <f t="shared" si="5"/>
        <v>282191798.53</v>
      </c>
    </row>
    <row r="37" spans="2:8" ht="12.75">
      <c r="B37" s="170" t="s">
        <v>433</v>
      </c>
      <c r="C37" s="17">
        <v>99395152</v>
      </c>
      <c r="D37" s="24">
        <v>-11492.79</v>
      </c>
      <c r="E37" s="17">
        <f t="shared" si="4"/>
        <v>99383659.21</v>
      </c>
      <c r="F37" s="24">
        <v>5577215</v>
      </c>
      <c r="G37" s="24">
        <v>5577215</v>
      </c>
      <c r="H37" s="153">
        <f t="shared" si="5"/>
        <v>93806444.21</v>
      </c>
    </row>
    <row r="38" spans="2:8" ht="12.75">
      <c r="B38" s="170" t="s">
        <v>434</v>
      </c>
      <c r="C38" s="17">
        <v>0</v>
      </c>
      <c r="D38" s="24">
        <v>88990803.16</v>
      </c>
      <c r="E38" s="17">
        <f t="shared" si="4"/>
        <v>88990803.16</v>
      </c>
      <c r="F38" s="24">
        <v>88990803.16</v>
      </c>
      <c r="G38" s="24">
        <v>88990803.16</v>
      </c>
      <c r="H38" s="153">
        <f t="shared" si="5"/>
        <v>0</v>
      </c>
    </row>
    <row r="39" spans="2:8" ht="12.75">
      <c r="B39" s="170" t="s">
        <v>435</v>
      </c>
      <c r="C39" s="17">
        <v>0</v>
      </c>
      <c r="D39" s="24">
        <v>0</v>
      </c>
      <c r="E39" s="17">
        <f t="shared" si="4"/>
        <v>0</v>
      </c>
      <c r="F39" s="24">
        <v>0</v>
      </c>
      <c r="G39" s="24">
        <v>0</v>
      </c>
      <c r="H39" s="153">
        <f t="shared" si="5"/>
        <v>0</v>
      </c>
    </row>
    <row r="40" spans="2:8" ht="12.75">
      <c r="B40" s="170" t="s">
        <v>436</v>
      </c>
      <c r="C40" s="17">
        <v>0</v>
      </c>
      <c r="D40" s="24">
        <v>0</v>
      </c>
      <c r="E40" s="17">
        <f t="shared" si="4"/>
        <v>0</v>
      </c>
      <c r="F40" s="24">
        <v>0</v>
      </c>
      <c r="G40" s="24">
        <v>0</v>
      </c>
      <c r="H40" s="153">
        <f t="shared" si="5"/>
        <v>0</v>
      </c>
    </row>
    <row r="41" spans="2:8" ht="12.75">
      <c r="B41" s="170" t="s">
        <v>437</v>
      </c>
      <c r="C41" s="17">
        <v>0</v>
      </c>
      <c r="D41" s="24">
        <v>0</v>
      </c>
      <c r="E41" s="17">
        <f t="shared" si="4"/>
        <v>0</v>
      </c>
      <c r="F41" s="24">
        <v>0</v>
      </c>
      <c r="G41" s="24">
        <v>0</v>
      </c>
      <c r="H41" s="153">
        <f t="shared" si="5"/>
        <v>0</v>
      </c>
    </row>
    <row r="42" spans="2:8" ht="12.75">
      <c r="B42" s="170" t="s">
        <v>438</v>
      </c>
      <c r="C42" s="17">
        <v>15000000</v>
      </c>
      <c r="D42" s="24">
        <v>0</v>
      </c>
      <c r="E42" s="17">
        <f t="shared" si="4"/>
        <v>15000000</v>
      </c>
      <c r="F42" s="24">
        <v>0</v>
      </c>
      <c r="G42" s="24">
        <v>0</v>
      </c>
      <c r="H42" s="153">
        <f t="shared" si="5"/>
        <v>15000000</v>
      </c>
    </row>
    <row r="43" spans="2:8" ht="12.75">
      <c r="B43" s="170" t="s">
        <v>439</v>
      </c>
      <c r="C43" s="17">
        <v>162000000</v>
      </c>
      <c r="D43" s="24">
        <v>75453820.27</v>
      </c>
      <c r="E43" s="17">
        <f t="shared" si="4"/>
        <v>237453820.26999998</v>
      </c>
      <c r="F43" s="24">
        <v>75427600.27</v>
      </c>
      <c r="G43" s="24">
        <v>73486611.65</v>
      </c>
      <c r="H43" s="153">
        <f t="shared" si="5"/>
        <v>162026220</v>
      </c>
    </row>
    <row r="44" spans="2:8" ht="12.75">
      <c r="B44" s="170" t="s">
        <v>440</v>
      </c>
      <c r="C44" s="17">
        <v>122992212</v>
      </c>
      <c r="D44" s="24">
        <v>201.65</v>
      </c>
      <c r="E44" s="17">
        <f t="shared" si="4"/>
        <v>122992413.65</v>
      </c>
      <c r="F44" s="24">
        <v>25089656.65</v>
      </c>
      <c r="G44" s="24">
        <v>24973279.65</v>
      </c>
      <c r="H44" s="153">
        <f t="shared" si="5"/>
        <v>97902757</v>
      </c>
    </row>
    <row r="45" spans="2:8" ht="12.75">
      <c r="B45" s="170" t="s">
        <v>441</v>
      </c>
      <c r="C45" s="17">
        <v>0</v>
      </c>
      <c r="D45" s="24">
        <v>12233.68</v>
      </c>
      <c r="E45" s="17">
        <f t="shared" si="4"/>
        <v>12233.68</v>
      </c>
      <c r="F45" s="24">
        <v>12233.68</v>
      </c>
      <c r="G45" s="24">
        <v>12233.68</v>
      </c>
      <c r="H45" s="153">
        <f t="shared" si="5"/>
        <v>0</v>
      </c>
    </row>
    <row r="46" spans="2:8" ht="12.75">
      <c r="B46" s="170" t="s">
        <v>442</v>
      </c>
      <c r="C46" s="17">
        <v>200000000</v>
      </c>
      <c r="D46" s="24">
        <v>0</v>
      </c>
      <c r="E46" s="17">
        <f t="shared" si="4"/>
        <v>200000000</v>
      </c>
      <c r="F46" s="24">
        <v>0</v>
      </c>
      <c r="G46" s="24">
        <v>0</v>
      </c>
      <c r="H46" s="153">
        <f t="shared" si="5"/>
        <v>200000000</v>
      </c>
    </row>
    <row r="47" spans="2:8" ht="12.75">
      <c r="B47" s="170" t="s">
        <v>443</v>
      </c>
      <c r="C47" s="17">
        <v>7760441381</v>
      </c>
      <c r="D47" s="24">
        <v>29547942.619999994</v>
      </c>
      <c r="E47" s="17">
        <f t="shared" si="4"/>
        <v>7789989323.62</v>
      </c>
      <c r="F47" s="24">
        <v>1693764317.97</v>
      </c>
      <c r="G47" s="24">
        <v>1693764317.97</v>
      </c>
      <c r="H47" s="153">
        <f t="shared" si="5"/>
        <v>6096225005.65</v>
      </c>
    </row>
    <row r="48" spans="2:8" ht="12.75">
      <c r="B48" s="175"/>
      <c r="C48" s="17"/>
      <c r="D48" s="17"/>
      <c r="E48" s="17"/>
      <c r="F48" s="17"/>
      <c r="G48" s="17"/>
      <c r="H48" s="125"/>
    </row>
    <row r="49" spans="2:8" ht="12.75">
      <c r="B49" s="168" t="s">
        <v>404</v>
      </c>
      <c r="C49" s="178">
        <f aca="true" t="shared" si="6" ref="C49:H49">C9+C31</f>
        <v>19645122596</v>
      </c>
      <c r="D49" s="177">
        <f t="shared" si="6"/>
        <v>296277681.37999994</v>
      </c>
      <c r="E49" s="178">
        <f>E9+E31</f>
        <v>19941400277.379997</v>
      </c>
      <c r="F49" s="178">
        <f t="shared" si="6"/>
        <v>4892302464.14</v>
      </c>
      <c r="G49" s="178">
        <f t="shared" si="6"/>
        <v>4845720140.530001</v>
      </c>
      <c r="H49" s="178">
        <f t="shared" si="6"/>
        <v>15049097813.239998</v>
      </c>
    </row>
    <row r="50" spans="2:8" ht="13.5" thickBot="1">
      <c r="B50" s="179"/>
      <c r="C50" s="15"/>
      <c r="D50" s="15"/>
      <c r="E50" s="15"/>
      <c r="F50" s="15"/>
      <c r="G50" s="15"/>
      <c r="H50" s="15"/>
    </row>
    <row r="53" ht="12.75">
      <c r="C53" s="12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76" activePane="bottomLeft" state="frozen"/>
      <selection pane="topLeft" activeCell="A1" sqref="A1"/>
      <selection pane="bottomLeft" activeCell="A20" sqref="A20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16384" width="11.00390625" style="1" customWidth="1"/>
  </cols>
  <sheetData>
    <row r="1" ht="13.5" thickBot="1"/>
    <row r="2" spans="1:7" ht="12.75">
      <c r="A2" s="200" t="s">
        <v>120</v>
      </c>
      <c r="B2" s="201"/>
      <c r="C2" s="201"/>
      <c r="D2" s="201"/>
      <c r="E2" s="201"/>
      <c r="F2" s="201"/>
      <c r="G2" s="241"/>
    </row>
    <row r="3" spans="1:7" ht="12.75">
      <c r="A3" s="225" t="s">
        <v>323</v>
      </c>
      <c r="B3" s="226"/>
      <c r="C3" s="226"/>
      <c r="D3" s="226"/>
      <c r="E3" s="226"/>
      <c r="F3" s="226"/>
      <c r="G3" s="242"/>
    </row>
    <row r="4" spans="1:7" ht="12.75">
      <c r="A4" s="225" t="s">
        <v>444</v>
      </c>
      <c r="B4" s="226"/>
      <c r="C4" s="226"/>
      <c r="D4" s="226"/>
      <c r="E4" s="226"/>
      <c r="F4" s="226"/>
      <c r="G4" s="242"/>
    </row>
    <row r="5" spans="1:7" ht="12.75">
      <c r="A5" s="225" t="s">
        <v>125</v>
      </c>
      <c r="B5" s="226"/>
      <c r="C5" s="226"/>
      <c r="D5" s="226"/>
      <c r="E5" s="226"/>
      <c r="F5" s="226"/>
      <c r="G5" s="242"/>
    </row>
    <row r="6" spans="1:7" ht="13.5" thickBot="1">
      <c r="A6" s="228" t="s">
        <v>1</v>
      </c>
      <c r="B6" s="229"/>
      <c r="C6" s="229"/>
      <c r="D6" s="229"/>
      <c r="E6" s="229"/>
      <c r="F6" s="229"/>
      <c r="G6" s="243"/>
    </row>
    <row r="7" spans="1:7" ht="15.75" customHeight="1">
      <c r="A7" s="200" t="s">
        <v>2</v>
      </c>
      <c r="B7" s="246" t="s">
        <v>325</v>
      </c>
      <c r="C7" s="247"/>
      <c r="D7" s="247"/>
      <c r="E7" s="247"/>
      <c r="F7" s="248"/>
      <c r="G7" s="233" t="s">
        <v>326</v>
      </c>
    </row>
    <row r="8" spans="1:7" ht="15.75" customHeight="1" thickBot="1">
      <c r="A8" s="225"/>
      <c r="B8" s="206"/>
      <c r="C8" s="207"/>
      <c r="D8" s="207"/>
      <c r="E8" s="207"/>
      <c r="F8" s="208"/>
      <c r="G8" s="252"/>
    </row>
    <row r="9" spans="1:7" ht="26.25" thickBot="1">
      <c r="A9" s="228"/>
      <c r="B9" s="180" t="s">
        <v>216</v>
      </c>
      <c r="C9" s="33" t="s">
        <v>327</v>
      </c>
      <c r="D9" s="33" t="s">
        <v>328</v>
      </c>
      <c r="E9" s="33" t="s">
        <v>214</v>
      </c>
      <c r="F9" s="33" t="s">
        <v>233</v>
      </c>
      <c r="G9" s="234"/>
    </row>
    <row r="10" spans="1:7" ht="12.75">
      <c r="A10" s="181"/>
      <c r="B10" s="182"/>
      <c r="C10" s="182"/>
      <c r="D10" s="182"/>
      <c r="E10" s="17"/>
      <c r="F10" s="17"/>
      <c r="G10" s="182"/>
    </row>
    <row r="11" spans="1:7" ht="12.75">
      <c r="A11" s="183" t="s">
        <v>445</v>
      </c>
      <c r="B11" s="114">
        <f aca="true" t="shared" si="0" ref="B11:G11">B12+B22+B31+B42</f>
        <v>8291955867</v>
      </c>
      <c r="C11" s="114">
        <f>C12+C22+C31+C42</f>
        <v>-4.6566128730773926E-09</v>
      </c>
      <c r="D11" s="114">
        <f t="shared" si="0"/>
        <v>8291955867</v>
      </c>
      <c r="E11" s="114">
        <f t="shared" si="0"/>
        <v>2049255490.79</v>
      </c>
      <c r="F11" s="114">
        <f t="shared" si="0"/>
        <v>2004730532.8000002</v>
      </c>
      <c r="G11" s="114">
        <f t="shared" si="0"/>
        <v>6242700376.210001</v>
      </c>
    </row>
    <row r="12" spans="1:7" ht="12.75">
      <c r="A12" s="183" t="s">
        <v>446</v>
      </c>
      <c r="B12" s="114">
        <f>SUM(B13:B20)</f>
        <v>3191751880.5299997</v>
      </c>
      <c r="C12" s="114">
        <f>SUM(C13:C20)</f>
        <v>-18940817.26</v>
      </c>
      <c r="D12" s="114">
        <f>SUM(D13:D20)</f>
        <v>3172811063.27</v>
      </c>
      <c r="E12" s="114">
        <f>SUM(E13:E20)</f>
        <v>710089114.52</v>
      </c>
      <c r="F12" s="114">
        <f>SUM(F13:F20)</f>
        <v>689556184.5400001</v>
      </c>
      <c r="G12" s="114">
        <f>D12-E12</f>
        <v>2462721948.75</v>
      </c>
    </row>
    <row r="13" spans="1:7" ht="12.75">
      <c r="A13" s="184" t="s">
        <v>447</v>
      </c>
      <c r="B13" s="104">
        <v>277562439</v>
      </c>
      <c r="C13" s="104">
        <v>0</v>
      </c>
      <c r="D13" s="104">
        <f aca="true" t="shared" si="1" ref="D13:D20">B13+C13</f>
        <v>277562439</v>
      </c>
      <c r="E13" s="104">
        <v>74628134.17999999</v>
      </c>
      <c r="F13" s="104">
        <v>74552534.17999999</v>
      </c>
      <c r="G13" s="104">
        <f aca="true" t="shared" si="2" ref="G13:G20">D13-E13</f>
        <v>202934304.82</v>
      </c>
    </row>
    <row r="14" spans="1:7" ht="12.75">
      <c r="A14" s="184" t="s">
        <v>448</v>
      </c>
      <c r="B14" s="104">
        <v>758517998.6</v>
      </c>
      <c r="C14" s="104">
        <v>-4260216.93</v>
      </c>
      <c r="D14" s="104">
        <f t="shared" si="1"/>
        <v>754257781.6700001</v>
      </c>
      <c r="E14" s="104">
        <v>179892160.65</v>
      </c>
      <c r="F14" s="104">
        <v>173991239.62</v>
      </c>
      <c r="G14" s="104">
        <f t="shared" si="2"/>
        <v>574365621.0200001</v>
      </c>
    </row>
    <row r="15" spans="1:7" ht="12.75">
      <c r="A15" s="184" t="s">
        <v>449</v>
      </c>
      <c r="B15" s="104">
        <v>509872390.07</v>
      </c>
      <c r="C15" s="104">
        <v>-1389362.96</v>
      </c>
      <c r="D15" s="104">
        <f t="shared" si="1"/>
        <v>508483027.11</v>
      </c>
      <c r="E15" s="104">
        <v>132034610.14000002</v>
      </c>
      <c r="F15" s="104">
        <v>131073482.92</v>
      </c>
      <c r="G15" s="104">
        <f t="shared" si="2"/>
        <v>376448416.97</v>
      </c>
    </row>
    <row r="16" spans="1:7" ht="12.75">
      <c r="A16" s="184" t="s">
        <v>450</v>
      </c>
      <c r="B16" s="104">
        <v>0</v>
      </c>
      <c r="C16" s="104">
        <v>0</v>
      </c>
      <c r="D16" s="104">
        <f t="shared" si="1"/>
        <v>0</v>
      </c>
      <c r="E16" s="104">
        <v>0</v>
      </c>
      <c r="F16" s="104">
        <v>0</v>
      </c>
      <c r="G16" s="104">
        <f t="shared" si="2"/>
        <v>0</v>
      </c>
    </row>
    <row r="17" spans="1:7" ht="12.75">
      <c r="A17" s="184" t="s">
        <v>451</v>
      </c>
      <c r="B17" s="104">
        <v>768981877.79</v>
      </c>
      <c r="C17" s="104">
        <v>-9095905.5</v>
      </c>
      <c r="D17" s="104">
        <f t="shared" si="1"/>
        <v>759885972.29</v>
      </c>
      <c r="E17" s="104">
        <v>136928025.41</v>
      </c>
      <c r="F17" s="104">
        <v>134938783.73</v>
      </c>
      <c r="G17" s="104">
        <f t="shared" si="2"/>
        <v>622957946.88</v>
      </c>
    </row>
    <row r="18" spans="1:7" ht="12.75">
      <c r="A18" s="184" t="s">
        <v>452</v>
      </c>
      <c r="B18" s="104">
        <v>0</v>
      </c>
      <c r="C18" s="104">
        <v>0</v>
      </c>
      <c r="D18" s="104">
        <f t="shared" si="1"/>
        <v>0</v>
      </c>
      <c r="E18" s="104">
        <v>0</v>
      </c>
      <c r="F18" s="104">
        <v>0</v>
      </c>
      <c r="G18" s="104">
        <f t="shared" si="2"/>
        <v>0</v>
      </c>
    </row>
    <row r="19" spans="1:7" ht="12.75">
      <c r="A19" s="184" t="s">
        <v>453</v>
      </c>
      <c r="B19" s="104">
        <v>630397825.66</v>
      </c>
      <c r="C19" s="104">
        <v>770948.75</v>
      </c>
      <c r="D19" s="104">
        <f t="shared" si="1"/>
        <v>631168774.41</v>
      </c>
      <c r="E19" s="104">
        <v>131042465.95</v>
      </c>
      <c r="F19" s="104">
        <v>120421770.08999999</v>
      </c>
      <c r="G19" s="104">
        <f t="shared" si="2"/>
        <v>500126308.46</v>
      </c>
    </row>
    <row r="20" spans="1:7" ht="12.75">
      <c r="A20" s="184" t="s">
        <v>454</v>
      </c>
      <c r="B20" s="104">
        <v>246419349.41</v>
      </c>
      <c r="C20" s="104">
        <v>-4966280.62</v>
      </c>
      <c r="D20" s="104">
        <f t="shared" si="1"/>
        <v>241453068.79</v>
      </c>
      <c r="E20" s="104">
        <v>55563718.19</v>
      </c>
      <c r="F20" s="104">
        <v>54578374</v>
      </c>
      <c r="G20" s="104">
        <f t="shared" si="2"/>
        <v>185889350.6</v>
      </c>
    </row>
    <row r="21" spans="1:7" ht="12.75">
      <c r="A21" s="185"/>
      <c r="B21" s="104"/>
      <c r="C21" s="104"/>
      <c r="D21" s="104"/>
      <c r="E21" s="104"/>
      <c r="F21" s="104"/>
      <c r="G21" s="104"/>
    </row>
    <row r="22" spans="1:7" ht="12.75">
      <c r="A22" s="183" t="s">
        <v>455</v>
      </c>
      <c r="B22" s="114">
        <f>SUM(B23:B29)</f>
        <v>2507202722.98</v>
      </c>
      <c r="C22" s="114">
        <f>SUM(C23:C29)</f>
        <v>21364225.979999997</v>
      </c>
      <c r="D22" s="114">
        <f>SUM(D23:D29)</f>
        <v>2528566948.96</v>
      </c>
      <c r="E22" s="114">
        <f>SUM(E23:E29)</f>
        <v>579535466.03</v>
      </c>
      <c r="F22" s="114">
        <f>SUM(F23:F29)</f>
        <v>562261194.55</v>
      </c>
      <c r="G22" s="114">
        <f aca="true" t="shared" si="3" ref="G22:G29">D22-E22</f>
        <v>1949031482.93</v>
      </c>
    </row>
    <row r="23" spans="1:7" ht="12.75">
      <c r="A23" s="184" t="s">
        <v>456</v>
      </c>
      <c r="B23" s="104">
        <v>29923876.48</v>
      </c>
      <c r="C23" s="104">
        <v>-1040874.44</v>
      </c>
      <c r="D23" s="104">
        <f>B23+C23</f>
        <v>28883002.04</v>
      </c>
      <c r="E23" s="104">
        <v>4174192.37</v>
      </c>
      <c r="F23" s="104">
        <v>3583220.17</v>
      </c>
      <c r="G23" s="104">
        <f t="shared" si="3"/>
        <v>24708809.669999998</v>
      </c>
    </row>
    <row r="24" spans="1:7" ht="12.75">
      <c r="A24" s="184" t="s">
        <v>457</v>
      </c>
      <c r="B24" s="104">
        <v>120877060.93</v>
      </c>
      <c r="C24" s="104">
        <v>3670.14</v>
      </c>
      <c r="D24" s="104">
        <f aca="true" t="shared" si="4" ref="D24:D29">B24+C24</f>
        <v>120880731.07000001</v>
      </c>
      <c r="E24" s="104">
        <v>23666592.97999999</v>
      </c>
      <c r="F24" s="104">
        <v>22876031.35000001</v>
      </c>
      <c r="G24" s="104">
        <f t="shared" si="3"/>
        <v>97214138.09000002</v>
      </c>
    </row>
    <row r="25" spans="1:7" ht="12.75">
      <c r="A25" s="184" t="s">
        <v>458</v>
      </c>
      <c r="B25" s="104">
        <v>196798554</v>
      </c>
      <c r="C25" s="104">
        <v>0</v>
      </c>
      <c r="D25" s="104">
        <f t="shared" si="4"/>
        <v>196798554</v>
      </c>
      <c r="E25" s="104">
        <v>76654016.81000006</v>
      </c>
      <c r="F25" s="104">
        <v>76017664.45000005</v>
      </c>
      <c r="G25" s="104">
        <f t="shared" si="3"/>
        <v>120144537.18999994</v>
      </c>
    </row>
    <row r="26" spans="1:7" ht="12.75">
      <c r="A26" s="184" t="s">
        <v>459</v>
      </c>
      <c r="B26" s="104">
        <v>205646592.62</v>
      </c>
      <c r="C26" s="104">
        <v>12377599.76</v>
      </c>
      <c r="D26" s="104">
        <f t="shared" si="4"/>
        <v>218024192.38</v>
      </c>
      <c r="E26" s="104">
        <v>73836830.11000001</v>
      </c>
      <c r="F26" s="104">
        <v>66798436.480000004</v>
      </c>
      <c r="G26" s="104">
        <f t="shared" si="3"/>
        <v>144187362.26999998</v>
      </c>
    </row>
    <row r="27" spans="1:7" ht="12.75">
      <c r="A27" s="184" t="s">
        <v>460</v>
      </c>
      <c r="B27" s="104">
        <v>1216791758.4</v>
      </c>
      <c r="C27" s="104">
        <v>-9517864.25</v>
      </c>
      <c r="D27" s="104">
        <f t="shared" si="4"/>
        <v>1207273894.15</v>
      </c>
      <c r="E27" s="104">
        <v>237423787.31999993</v>
      </c>
      <c r="F27" s="104">
        <v>229989268.1199999</v>
      </c>
      <c r="G27" s="104">
        <f t="shared" si="3"/>
        <v>969850106.8300002</v>
      </c>
    </row>
    <row r="28" spans="1:7" ht="12.75">
      <c r="A28" s="184" t="s">
        <v>461</v>
      </c>
      <c r="B28" s="104">
        <v>737164880.55</v>
      </c>
      <c r="C28" s="104">
        <v>19541694.77</v>
      </c>
      <c r="D28" s="104">
        <f t="shared" si="4"/>
        <v>756706575.3199999</v>
      </c>
      <c r="E28" s="104">
        <v>163780046.44</v>
      </c>
      <c r="F28" s="104">
        <v>162996573.98</v>
      </c>
      <c r="G28" s="104">
        <f t="shared" si="3"/>
        <v>592926528.8799999</v>
      </c>
    </row>
    <row r="29" spans="1:7" ht="12.75">
      <c r="A29" s="184" t="s">
        <v>462</v>
      </c>
      <c r="B29" s="104">
        <v>0</v>
      </c>
      <c r="C29" s="104">
        <v>0</v>
      </c>
      <c r="D29" s="104">
        <f t="shared" si="4"/>
        <v>0</v>
      </c>
      <c r="E29" s="104">
        <v>0</v>
      </c>
      <c r="F29" s="104">
        <v>0</v>
      </c>
      <c r="G29" s="104">
        <f t="shared" si="3"/>
        <v>0</v>
      </c>
    </row>
    <row r="30" spans="1:7" ht="12.75">
      <c r="A30" s="185"/>
      <c r="B30" s="104"/>
      <c r="C30" s="104"/>
      <c r="D30" s="104"/>
      <c r="E30" s="104"/>
      <c r="F30" s="104"/>
      <c r="G30" s="104"/>
    </row>
    <row r="31" spans="1:7" ht="12.75">
      <c r="A31" s="183" t="s">
        <v>463</v>
      </c>
      <c r="B31" s="114">
        <f>SUM(B32:B40)</f>
        <v>472686781.49</v>
      </c>
      <c r="C31" s="114">
        <f>SUM(C32:C40)</f>
        <v>-2423408.7199999997</v>
      </c>
      <c r="D31" s="114">
        <f>SUM(D32:D40)</f>
        <v>470263372.77</v>
      </c>
      <c r="E31" s="114">
        <f>SUM(E32:E40)</f>
        <v>114497076.01</v>
      </c>
      <c r="F31" s="114">
        <f>SUM(F32:F40)</f>
        <v>113209059.35999998</v>
      </c>
      <c r="G31" s="114">
        <f aca="true" t="shared" si="5" ref="G31:G40">D31-E31</f>
        <v>355766296.76</v>
      </c>
    </row>
    <row r="32" spans="1:7" ht="12.75">
      <c r="A32" s="184" t="s">
        <v>464</v>
      </c>
      <c r="B32" s="104">
        <v>121028836.31</v>
      </c>
      <c r="C32" s="104">
        <v>-4213937.75</v>
      </c>
      <c r="D32" s="104">
        <f>B32+C32</f>
        <v>116814898.56</v>
      </c>
      <c r="E32" s="104">
        <v>24116974.1</v>
      </c>
      <c r="F32" s="104">
        <v>23995198.199999996</v>
      </c>
      <c r="G32" s="104">
        <f t="shared" si="5"/>
        <v>92697924.46000001</v>
      </c>
    </row>
    <row r="33" spans="1:7" ht="12.75">
      <c r="A33" s="184" t="s">
        <v>465</v>
      </c>
      <c r="B33" s="104">
        <v>91496731.23</v>
      </c>
      <c r="C33" s="104">
        <v>-123956.91</v>
      </c>
      <c r="D33" s="104">
        <f aca="true" t="shared" si="6" ref="D33:D40">B33+C33</f>
        <v>91372774.32000001</v>
      </c>
      <c r="E33" s="104">
        <v>40955737.77</v>
      </c>
      <c r="F33" s="104">
        <v>40584049.76</v>
      </c>
      <c r="G33" s="104">
        <f t="shared" si="5"/>
        <v>50417036.550000004</v>
      </c>
    </row>
    <row r="34" spans="1:7" ht="12.75">
      <c r="A34" s="184" t="s">
        <v>466</v>
      </c>
      <c r="B34" s="104">
        <v>0</v>
      </c>
      <c r="C34" s="104">
        <v>0</v>
      </c>
      <c r="D34" s="104">
        <f t="shared" si="6"/>
        <v>0</v>
      </c>
      <c r="E34" s="104">
        <v>0</v>
      </c>
      <c r="F34" s="104">
        <v>0</v>
      </c>
      <c r="G34" s="104">
        <f t="shared" si="5"/>
        <v>0</v>
      </c>
    </row>
    <row r="35" spans="1:7" ht="12.75">
      <c r="A35" s="184" t="s">
        <v>467</v>
      </c>
      <c r="B35" s="104">
        <v>0</v>
      </c>
      <c r="C35" s="104">
        <v>0</v>
      </c>
      <c r="D35" s="104">
        <f t="shared" si="6"/>
        <v>0</v>
      </c>
      <c r="E35" s="104">
        <v>0</v>
      </c>
      <c r="F35" s="104">
        <v>0</v>
      </c>
      <c r="G35" s="104">
        <f t="shared" si="5"/>
        <v>0</v>
      </c>
    </row>
    <row r="36" spans="1:7" ht="12.75">
      <c r="A36" s="184" t="s">
        <v>468</v>
      </c>
      <c r="B36" s="104">
        <v>100868000.66</v>
      </c>
      <c r="C36" s="104">
        <v>-1026306.1</v>
      </c>
      <c r="D36" s="111">
        <f t="shared" si="6"/>
        <v>99841694.56</v>
      </c>
      <c r="E36" s="104">
        <v>17071079.17</v>
      </c>
      <c r="F36" s="104">
        <v>16989301.71</v>
      </c>
      <c r="G36" s="111">
        <f t="shared" si="5"/>
        <v>82770615.39</v>
      </c>
    </row>
    <row r="37" spans="1:7" ht="12.75">
      <c r="A37" s="184" t="s">
        <v>469</v>
      </c>
      <c r="B37" s="104">
        <v>0</v>
      </c>
      <c r="C37" s="104">
        <v>0</v>
      </c>
      <c r="D37" s="104">
        <f t="shared" si="6"/>
        <v>0</v>
      </c>
      <c r="E37" s="104">
        <v>0</v>
      </c>
      <c r="F37" s="104">
        <v>0</v>
      </c>
      <c r="G37" s="104">
        <f t="shared" si="5"/>
        <v>0</v>
      </c>
    </row>
    <row r="38" spans="1:7" ht="12.75">
      <c r="A38" s="184" t="s">
        <v>470</v>
      </c>
      <c r="B38" s="104">
        <v>152610777.29</v>
      </c>
      <c r="C38" s="104">
        <v>2940792.04</v>
      </c>
      <c r="D38" s="104">
        <f t="shared" si="6"/>
        <v>155551569.32999998</v>
      </c>
      <c r="E38" s="104">
        <v>30808360.53</v>
      </c>
      <c r="F38" s="104">
        <v>30595585.25</v>
      </c>
      <c r="G38" s="104">
        <f t="shared" si="5"/>
        <v>124743208.79999998</v>
      </c>
    </row>
    <row r="39" spans="1:7" ht="12.75">
      <c r="A39" s="184" t="s">
        <v>471</v>
      </c>
      <c r="B39" s="104">
        <v>6682436</v>
      </c>
      <c r="C39" s="104">
        <v>0</v>
      </c>
      <c r="D39" s="104">
        <f t="shared" si="6"/>
        <v>6682436</v>
      </c>
      <c r="E39" s="104">
        <v>1544924.44</v>
      </c>
      <c r="F39" s="104">
        <v>1044924.44</v>
      </c>
      <c r="G39" s="104">
        <f t="shared" si="5"/>
        <v>5137511.5600000005</v>
      </c>
    </row>
    <row r="40" spans="1:7" ht="12.75">
      <c r="A40" s="184" t="s">
        <v>472</v>
      </c>
      <c r="B40" s="104">
        <v>0</v>
      </c>
      <c r="C40" s="104">
        <v>0</v>
      </c>
      <c r="D40" s="104">
        <f t="shared" si="6"/>
        <v>0</v>
      </c>
      <c r="E40" s="104">
        <v>0</v>
      </c>
      <c r="F40" s="104">
        <v>0</v>
      </c>
      <c r="G40" s="104">
        <f t="shared" si="5"/>
        <v>0</v>
      </c>
    </row>
    <row r="41" spans="1:7" ht="12.75">
      <c r="A41" s="185"/>
      <c r="B41" s="104"/>
      <c r="C41" s="104"/>
      <c r="D41" s="104"/>
      <c r="E41" s="104"/>
      <c r="F41" s="104"/>
      <c r="G41" s="104"/>
    </row>
    <row r="42" spans="1:7" ht="12.75">
      <c r="A42" s="183" t="s">
        <v>473</v>
      </c>
      <c r="B42" s="114">
        <f>SUM(B43:B46)</f>
        <v>2120314482</v>
      </c>
      <c r="C42" s="114">
        <f>SUM(C43:C46)</f>
        <v>0</v>
      </c>
      <c r="D42" s="114">
        <f>SUM(D43:D46)</f>
        <v>2120314482</v>
      </c>
      <c r="E42" s="114">
        <f>SUM(E43:E46)</f>
        <v>645133834.23</v>
      </c>
      <c r="F42" s="114">
        <f>SUM(F43:F46)</f>
        <v>639704094.35</v>
      </c>
      <c r="G42" s="114">
        <f>D42-E42</f>
        <v>1475180647.77</v>
      </c>
    </row>
    <row r="43" spans="1:7" ht="12.75">
      <c r="A43" s="184" t="s">
        <v>474</v>
      </c>
      <c r="B43" s="104">
        <v>227403110</v>
      </c>
      <c r="C43" s="104">
        <v>0</v>
      </c>
      <c r="D43" s="104">
        <f>B43+C43</f>
        <v>227403110</v>
      </c>
      <c r="E43" s="104">
        <v>119825380.5</v>
      </c>
      <c r="F43" s="104">
        <v>119825380.5</v>
      </c>
      <c r="G43" s="104">
        <f>D43-E43</f>
        <v>107577729.5</v>
      </c>
    </row>
    <row r="44" spans="1:7" ht="25.5">
      <c r="A44" s="186" t="s">
        <v>475</v>
      </c>
      <c r="B44" s="104">
        <v>1892911372</v>
      </c>
      <c r="C44" s="104">
        <v>0</v>
      </c>
      <c r="D44" s="104">
        <f>B44+C44</f>
        <v>1892911372</v>
      </c>
      <c r="E44" s="104">
        <v>525308453.73</v>
      </c>
      <c r="F44" s="104">
        <v>519878713.85</v>
      </c>
      <c r="G44" s="104">
        <f>D44-E44</f>
        <v>1367602918.27</v>
      </c>
    </row>
    <row r="45" spans="1:7" ht="12.75">
      <c r="A45" s="184" t="s">
        <v>476</v>
      </c>
      <c r="B45" s="104">
        <v>0</v>
      </c>
      <c r="C45" s="104">
        <v>0</v>
      </c>
      <c r="D45" s="104">
        <f>B45+C45</f>
        <v>0</v>
      </c>
      <c r="E45" s="104">
        <v>0</v>
      </c>
      <c r="F45" s="104">
        <v>0</v>
      </c>
      <c r="G45" s="104">
        <f>D45-E45</f>
        <v>0</v>
      </c>
    </row>
    <row r="46" spans="1:7" ht="12.75">
      <c r="A46" s="184" t="s">
        <v>477</v>
      </c>
      <c r="B46" s="104">
        <v>0</v>
      </c>
      <c r="C46" s="104">
        <v>0</v>
      </c>
      <c r="D46" s="104">
        <f>B46+C46</f>
        <v>0</v>
      </c>
      <c r="E46" s="104">
        <v>0</v>
      </c>
      <c r="F46" s="104">
        <v>0</v>
      </c>
      <c r="G46" s="104">
        <f>D46-E46</f>
        <v>0</v>
      </c>
    </row>
    <row r="47" spans="1:7" ht="12.75">
      <c r="A47" s="185"/>
      <c r="B47" s="104"/>
      <c r="C47" s="104"/>
      <c r="D47" s="104"/>
      <c r="E47" s="104"/>
      <c r="F47" s="104"/>
      <c r="G47" s="104"/>
    </row>
    <row r="48" spans="1:7" ht="12.75">
      <c r="A48" s="183" t="s">
        <v>478</v>
      </c>
      <c r="B48" s="114">
        <f>B49+B59+B68+B79</f>
        <v>11353166729</v>
      </c>
      <c r="C48" s="114">
        <f>C49+C59+C68+C79</f>
        <v>296277681.37999994</v>
      </c>
      <c r="D48" s="114">
        <f>D49+D59+D68+D79</f>
        <v>11649444410.38</v>
      </c>
      <c r="E48" s="114">
        <f>E49+E59+E68+E79</f>
        <v>2843046973.350001</v>
      </c>
      <c r="F48" s="114">
        <f>F49+F59+F68+F79</f>
        <v>2840989607.73</v>
      </c>
      <c r="G48" s="114">
        <f aca="true" t="shared" si="7" ref="G48:G83">D48-E48</f>
        <v>8806397437.029999</v>
      </c>
    </row>
    <row r="49" spans="1:7" ht="12.75">
      <c r="A49" s="183" t="s">
        <v>446</v>
      </c>
      <c r="B49" s="114">
        <f>SUM(B50:B57)</f>
        <v>233892212</v>
      </c>
      <c r="C49" s="114">
        <f>SUM(C50:C57)</f>
        <v>28024101.57</v>
      </c>
      <c r="D49" s="114">
        <f>SUM(D50:D57)</f>
        <v>261916313.57</v>
      </c>
      <c r="E49" s="114">
        <f>SUM(E50:E57)</f>
        <v>56113556.57</v>
      </c>
      <c r="F49" s="114">
        <f>SUM(F50:F57)</f>
        <v>55997179.57</v>
      </c>
      <c r="G49" s="114">
        <f t="shared" si="7"/>
        <v>205802757</v>
      </c>
    </row>
    <row r="50" spans="1:7" ht="12.75">
      <c r="A50" s="184" t="s">
        <v>447</v>
      </c>
      <c r="B50" s="104">
        <v>5900000</v>
      </c>
      <c r="C50" s="104">
        <v>1101.31</v>
      </c>
      <c r="D50" s="104">
        <f>B50+C50</f>
        <v>5901101.31</v>
      </c>
      <c r="E50" s="104">
        <v>1101.31</v>
      </c>
      <c r="F50" s="104">
        <v>1101.31</v>
      </c>
      <c r="G50" s="104">
        <f t="shared" si="7"/>
        <v>5900000</v>
      </c>
    </row>
    <row r="51" spans="1:7" ht="12.75">
      <c r="A51" s="184" t="s">
        <v>448</v>
      </c>
      <c r="B51" s="104">
        <v>102600000</v>
      </c>
      <c r="C51" s="104">
        <v>0</v>
      </c>
      <c r="D51" s="104">
        <f aca="true" t="shared" si="8" ref="D51:D57">B51+C51</f>
        <v>102600000</v>
      </c>
      <c r="E51" s="104">
        <v>3116377</v>
      </c>
      <c r="F51" s="104">
        <v>3000000</v>
      </c>
      <c r="G51" s="104">
        <f t="shared" si="7"/>
        <v>99483623</v>
      </c>
    </row>
    <row r="52" spans="1:7" ht="12.75">
      <c r="A52" s="184" t="s">
        <v>449</v>
      </c>
      <c r="B52" s="104">
        <v>0</v>
      </c>
      <c r="C52" s="104">
        <v>2759497.13</v>
      </c>
      <c r="D52" s="104">
        <f t="shared" si="8"/>
        <v>2759497.13</v>
      </c>
      <c r="E52" s="104">
        <v>2759497.13</v>
      </c>
      <c r="F52" s="104">
        <v>2759497.13</v>
      </c>
      <c r="G52" s="104">
        <f t="shared" si="7"/>
        <v>0</v>
      </c>
    </row>
    <row r="53" spans="1:7" ht="12.75">
      <c r="A53" s="184" t="s">
        <v>450</v>
      </c>
      <c r="B53" s="104">
        <v>0</v>
      </c>
      <c r="C53" s="104">
        <v>0</v>
      </c>
      <c r="D53" s="104">
        <f t="shared" si="8"/>
        <v>0</v>
      </c>
      <c r="E53" s="104">
        <v>0</v>
      </c>
      <c r="F53" s="104">
        <v>0</v>
      </c>
      <c r="G53" s="104">
        <f t="shared" si="7"/>
        <v>0</v>
      </c>
    </row>
    <row r="54" spans="1:7" ht="12.75">
      <c r="A54" s="184" t="s">
        <v>451</v>
      </c>
      <c r="B54" s="104">
        <v>0</v>
      </c>
      <c r="C54" s="104">
        <v>0</v>
      </c>
      <c r="D54" s="104">
        <f t="shared" si="8"/>
        <v>0</v>
      </c>
      <c r="E54" s="104">
        <v>0</v>
      </c>
      <c r="F54" s="104">
        <v>0</v>
      </c>
      <c r="G54" s="104">
        <f t="shared" si="7"/>
        <v>0</v>
      </c>
    </row>
    <row r="55" spans="1:7" ht="12.75">
      <c r="A55" s="184" t="s">
        <v>452</v>
      </c>
      <c r="B55" s="104">
        <v>0</v>
      </c>
      <c r="C55" s="104">
        <v>0</v>
      </c>
      <c r="D55" s="104">
        <f t="shared" si="8"/>
        <v>0</v>
      </c>
      <c r="E55" s="104">
        <v>0</v>
      </c>
      <c r="F55" s="104">
        <v>0</v>
      </c>
      <c r="G55" s="104">
        <f t="shared" si="7"/>
        <v>0</v>
      </c>
    </row>
    <row r="56" spans="1:7" ht="12.75">
      <c r="A56" s="184" t="s">
        <v>453</v>
      </c>
      <c r="B56" s="104">
        <v>120392212</v>
      </c>
      <c r="C56" s="104">
        <v>25251269.45</v>
      </c>
      <c r="D56" s="104">
        <f t="shared" si="8"/>
        <v>145643481.45</v>
      </c>
      <c r="E56" s="104">
        <v>50224347.45</v>
      </c>
      <c r="F56" s="104">
        <v>50224347.45</v>
      </c>
      <c r="G56" s="104">
        <f t="shared" si="7"/>
        <v>95419133.99999999</v>
      </c>
    </row>
    <row r="57" spans="1:7" ht="12.75">
      <c r="A57" s="184" t="s">
        <v>454</v>
      </c>
      <c r="B57" s="104">
        <v>5000000</v>
      </c>
      <c r="C57" s="104">
        <v>12233.68</v>
      </c>
      <c r="D57" s="104">
        <f t="shared" si="8"/>
        <v>5012233.68</v>
      </c>
      <c r="E57" s="104">
        <v>12233.68</v>
      </c>
      <c r="F57" s="104">
        <v>12233.68</v>
      </c>
      <c r="G57" s="104">
        <f t="shared" si="7"/>
        <v>5000000</v>
      </c>
    </row>
    <row r="58" spans="1:7" ht="12.75">
      <c r="A58" s="185"/>
      <c r="B58" s="104"/>
      <c r="C58" s="104"/>
      <c r="D58" s="104"/>
      <c r="E58" s="104"/>
      <c r="F58" s="104"/>
      <c r="G58" s="104"/>
    </row>
    <row r="59" spans="1:7" ht="12.75">
      <c r="A59" s="183" t="s">
        <v>455</v>
      </c>
      <c r="B59" s="114">
        <f>SUM(B60:B66)</f>
        <v>9565273644</v>
      </c>
      <c r="C59" s="114">
        <f>SUM(C60:C66)</f>
        <v>241217829.40999997</v>
      </c>
      <c r="D59" s="114">
        <f>SUM(D60:D66)</f>
        <v>9806491473.41</v>
      </c>
      <c r="E59" s="114">
        <f>SUM(E60:E66)</f>
        <v>2400767016.3500004</v>
      </c>
      <c r="F59" s="114">
        <f>SUM(F60:F66)</f>
        <v>2398878176.45</v>
      </c>
      <c r="G59" s="114">
        <f t="shared" si="7"/>
        <v>7405724457.059999</v>
      </c>
    </row>
    <row r="60" spans="1:7" ht="12.75">
      <c r="A60" s="184" t="s">
        <v>456</v>
      </c>
      <c r="B60" s="104">
        <v>0</v>
      </c>
      <c r="C60" s="104">
        <v>0</v>
      </c>
      <c r="D60" s="104">
        <f>B60+C60</f>
        <v>0</v>
      </c>
      <c r="E60" s="104">
        <v>0</v>
      </c>
      <c r="F60" s="104">
        <v>0</v>
      </c>
      <c r="G60" s="104">
        <f t="shared" si="7"/>
        <v>0</v>
      </c>
    </row>
    <row r="61" spans="1:7" ht="12.75">
      <c r="A61" s="184" t="s">
        <v>457</v>
      </c>
      <c r="B61" s="104">
        <v>376395152</v>
      </c>
      <c r="C61" s="104">
        <v>98079030.34</v>
      </c>
      <c r="D61" s="104">
        <f aca="true" t="shared" si="9" ref="D61:D66">B61+C61</f>
        <v>474474182.34000003</v>
      </c>
      <c r="E61" s="104">
        <v>77717528.60000001</v>
      </c>
      <c r="F61" s="104">
        <v>75941279.3</v>
      </c>
      <c r="G61" s="104">
        <f t="shared" si="7"/>
        <v>396756653.74</v>
      </c>
    </row>
    <row r="62" spans="1:7" ht="12.75">
      <c r="A62" s="184" t="s">
        <v>458</v>
      </c>
      <c r="B62" s="104">
        <v>1606375171</v>
      </c>
      <c r="C62" s="104">
        <v>105737898.8</v>
      </c>
      <c r="D62" s="104">
        <f t="shared" si="9"/>
        <v>1712113069.8</v>
      </c>
      <c r="E62" s="104">
        <v>497751602.51</v>
      </c>
      <c r="F62" s="104">
        <v>497734122.51</v>
      </c>
      <c r="G62" s="104">
        <f t="shared" si="7"/>
        <v>1214361467.29</v>
      </c>
    </row>
    <row r="63" spans="1:7" ht="12.75">
      <c r="A63" s="184" t="s">
        <v>459</v>
      </c>
      <c r="B63" s="104">
        <v>0</v>
      </c>
      <c r="C63" s="104">
        <v>17547334.65</v>
      </c>
      <c r="D63" s="104">
        <f t="shared" si="9"/>
        <v>17547334.65</v>
      </c>
      <c r="E63" s="104">
        <v>17547334.65</v>
      </c>
      <c r="F63" s="104">
        <v>17452224.05</v>
      </c>
      <c r="G63" s="104">
        <f t="shared" si="7"/>
        <v>0</v>
      </c>
    </row>
    <row r="64" spans="1:7" ht="12.75">
      <c r="A64" s="184" t="s">
        <v>460</v>
      </c>
      <c r="B64" s="104">
        <v>6851563305</v>
      </c>
      <c r="C64" s="104">
        <v>14963492.95</v>
      </c>
      <c r="D64" s="104">
        <f t="shared" si="9"/>
        <v>6866526797.95</v>
      </c>
      <c r="E64" s="104">
        <v>1711833322.38</v>
      </c>
      <c r="F64" s="104">
        <v>1711833322.38</v>
      </c>
      <c r="G64" s="104">
        <f t="shared" si="7"/>
        <v>5154693475.57</v>
      </c>
    </row>
    <row r="65" spans="1:7" ht="12.75">
      <c r="A65" s="184" t="s">
        <v>461</v>
      </c>
      <c r="B65" s="104">
        <v>730940016</v>
      </c>
      <c r="C65" s="104">
        <v>4890072.67</v>
      </c>
      <c r="D65" s="104">
        <f t="shared" si="9"/>
        <v>735830088.67</v>
      </c>
      <c r="E65" s="104">
        <v>95917228.21000001</v>
      </c>
      <c r="F65" s="104">
        <v>95917228.21000001</v>
      </c>
      <c r="G65" s="104">
        <f t="shared" si="7"/>
        <v>639912860.4599999</v>
      </c>
    </row>
    <row r="66" spans="1:7" ht="12.75">
      <c r="A66" s="184" t="s">
        <v>462</v>
      </c>
      <c r="B66" s="104">
        <v>0</v>
      </c>
      <c r="C66" s="104">
        <v>0</v>
      </c>
      <c r="D66" s="104">
        <f t="shared" si="9"/>
        <v>0</v>
      </c>
      <c r="E66" s="104">
        <v>0</v>
      </c>
      <c r="F66" s="104">
        <v>0</v>
      </c>
      <c r="G66" s="104">
        <f t="shared" si="7"/>
        <v>0</v>
      </c>
    </row>
    <row r="67" spans="1:7" ht="12.75">
      <c r="A67" s="185"/>
      <c r="B67" s="104"/>
      <c r="C67" s="104"/>
      <c r="D67" s="104"/>
      <c r="E67" s="104"/>
      <c r="F67" s="104"/>
      <c r="G67" s="104"/>
    </row>
    <row r="68" spans="1:7" ht="12.75">
      <c r="A68" s="183" t="s">
        <v>463</v>
      </c>
      <c r="B68" s="114">
        <f>SUM(B69:B77)</f>
        <v>51465477</v>
      </c>
      <c r="C68" s="114">
        <f>SUM(C69:C77)</f>
        <v>27035750.4</v>
      </c>
      <c r="D68" s="114">
        <f>SUM(D69:D77)</f>
        <v>78501227.4</v>
      </c>
      <c r="E68" s="114">
        <f>SUM(E69:E77)</f>
        <v>37194001.07</v>
      </c>
      <c r="F68" s="114">
        <f>SUM(F69:F77)</f>
        <v>37141852.35</v>
      </c>
      <c r="G68" s="114">
        <f t="shared" si="7"/>
        <v>41307226.330000006</v>
      </c>
    </row>
    <row r="69" spans="1:7" ht="12.75">
      <c r="A69" s="184" t="s">
        <v>464</v>
      </c>
      <c r="B69" s="104">
        <v>36465477</v>
      </c>
      <c r="C69" s="104">
        <v>0</v>
      </c>
      <c r="D69" s="104">
        <f>B69+C69</f>
        <v>36465477</v>
      </c>
      <c r="E69" s="104">
        <v>10158250.67</v>
      </c>
      <c r="F69" s="104">
        <v>10158250.67</v>
      </c>
      <c r="G69" s="104">
        <f t="shared" si="7"/>
        <v>26307226.33</v>
      </c>
    </row>
    <row r="70" spans="1:7" ht="12.75">
      <c r="A70" s="184" t="s">
        <v>465</v>
      </c>
      <c r="B70" s="104">
        <v>15000000</v>
      </c>
      <c r="C70" s="104">
        <v>0</v>
      </c>
      <c r="D70" s="104">
        <f aca="true" t="shared" si="10" ref="D70:D77">B70+C70</f>
        <v>15000000</v>
      </c>
      <c r="E70" s="104">
        <v>0</v>
      </c>
      <c r="F70" s="104">
        <v>0</v>
      </c>
      <c r="G70" s="104">
        <f t="shared" si="7"/>
        <v>15000000</v>
      </c>
    </row>
    <row r="71" spans="1:7" ht="12.75">
      <c r="A71" s="184" t="s">
        <v>466</v>
      </c>
      <c r="B71" s="104">
        <v>0</v>
      </c>
      <c r="C71" s="104">
        <v>0</v>
      </c>
      <c r="D71" s="104">
        <f t="shared" si="10"/>
        <v>0</v>
      </c>
      <c r="E71" s="104">
        <v>0</v>
      </c>
      <c r="F71" s="104">
        <v>0</v>
      </c>
      <c r="G71" s="104">
        <f t="shared" si="7"/>
        <v>0</v>
      </c>
    </row>
    <row r="72" spans="1:7" ht="12.75">
      <c r="A72" s="184" t="s">
        <v>467</v>
      </c>
      <c r="B72" s="104">
        <v>0</v>
      </c>
      <c r="C72" s="104">
        <v>0</v>
      </c>
      <c r="D72" s="104">
        <f t="shared" si="10"/>
        <v>0</v>
      </c>
      <c r="E72" s="104">
        <v>0</v>
      </c>
      <c r="F72" s="104">
        <v>0</v>
      </c>
      <c r="G72" s="104">
        <f t="shared" si="7"/>
        <v>0</v>
      </c>
    </row>
    <row r="73" spans="1:7" ht="12.75">
      <c r="A73" s="184" t="s">
        <v>468</v>
      </c>
      <c r="B73" s="104">
        <v>0</v>
      </c>
      <c r="C73" s="104">
        <v>25636956.4</v>
      </c>
      <c r="D73" s="104">
        <f t="shared" si="10"/>
        <v>25636956.4</v>
      </c>
      <c r="E73" s="104">
        <v>25636956.4</v>
      </c>
      <c r="F73" s="104">
        <v>25584807.68</v>
      </c>
      <c r="G73" s="104">
        <f t="shared" si="7"/>
        <v>0</v>
      </c>
    </row>
    <row r="74" spans="1:7" ht="12.75">
      <c r="A74" s="184" t="s">
        <v>469</v>
      </c>
      <c r="B74" s="104">
        <v>0</v>
      </c>
      <c r="C74" s="104">
        <v>0</v>
      </c>
      <c r="D74" s="104">
        <f t="shared" si="10"/>
        <v>0</v>
      </c>
      <c r="E74" s="104">
        <v>0</v>
      </c>
      <c r="F74" s="104">
        <v>0</v>
      </c>
      <c r="G74" s="104">
        <f t="shared" si="7"/>
        <v>0</v>
      </c>
    </row>
    <row r="75" spans="1:7" ht="12.75">
      <c r="A75" s="184" t="s">
        <v>470</v>
      </c>
      <c r="B75" s="104">
        <v>0</v>
      </c>
      <c r="C75" s="104">
        <v>1398794</v>
      </c>
      <c r="D75" s="104">
        <f t="shared" si="10"/>
        <v>1398794</v>
      </c>
      <c r="E75" s="104">
        <v>1398794</v>
      </c>
      <c r="F75" s="104">
        <v>1398794</v>
      </c>
      <c r="G75" s="104">
        <f t="shared" si="7"/>
        <v>0</v>
      </c>
    </row>
    <row r="76" spans="1:7" ht="12.75">
      <c r="A76" s="184" t="s">
        <v>471</v>
      </c>
      <c r="B76" s="104">
        <v>0</v>
      </c>
      <c r="C76" s="104">
        <v>0</v>
      </c>
      <c r="D76" s="104">
        <f t="shared" si="10"/>
        <v>0</v>
      </c>
      <c r="E76" s="104">
        <v>0</v>
      </c>
      <c r="F76" s="104">
        <v>0</v>
      </c>
      <c r="G76" s="104">
        <f t="shared" si="7"/>
        <v>0</v>
      </c>
    </row>
    <row r="77" spans="1:7" ht="13.5" thickBot="1">
      <c r="A77" s="187" t="s">
        <v>472</v>
      </c>
      <c r="B77" s="188">
        <v>0</v>
      </c>
      <c r="C77" s="188">
        <v>0</v>
      </c>
      <c r="D77" s="188">
        <f t="shared" si="10"/>
        <v>0</v>
      </c>
      <c r="E77" s="188">
        <v>0</v>
      </c>
      <c r="F77" s="188">
        <v>0</v>
      </c>
      <c r="G77" s="188">
        <f t="shared" si="7"/>
        <v>0</v>
      </c>
    </row>
    <row r="78" spans="1:7" ht="12.75">
      <c r="A78" s="185"/>
      <c r="B78" s="104"/>
      <c r="C78" s="104"/>
      <c r="D78" s="104"/>
      <c r="E78" s="104"/>
      <c r="F78" s="104"/>
      <c r="G78" s="104"/>
    </row>
    <row r="79" spans="1:7" ht="12.75">
      <c r="A79" s="183" t="s">
        <v>473</v>
      </c>
      <c r="B79" s="114">
        <f>SUM(B80:B83)</f>
        <v>1502535396</v>
      </c>
      <c r="C79" s="114">
        <f>SUM(C80:C83)</f>
        <v>0</v>
      </c>
      <c r="D79" s="114">
        <f>SUM(D80:D83)</f>
        <v>1502535396</v>
      </c>
      <c r="E79" s="114">
        <f>SUM(E80:E83)</f>
        <v>348972399.36</v>
      </c>
      <c r="F79" s="114">
        <f>SUM(F80:F83)</f>
        <v>348972399.36</v>
      </c>
      <c r="G79" s="114">
        <f t="shared" si="7"/>
        <v>1153562996.6399999</v>
      </c>
    </row>
    <row r="80" spans="1:7" ht="12.75">
      <c r="A80" s="184" t="s">
        <v>474</v>
      </c>
      <c r="B80" s="104">
        <v>234325298</v>
      </c>
      <c r="C80" s="104">
        <v>0</v>
      </c>
      <c r="D80" s="104">
        <f>B80+C80</f>
        <v>234325298</v>
      </c>
      <c r="E80" s="104">
        <v>0</v>
      </c>
      <c r="F80" s="104">
        <v>0</v>
      </c>
      <c r="G80" s="104">
        <f t="shared" si="7"/>
        <v>234325298</v>
      </c>
    </row>
    <row r="81" spans="1:7" ht="25.5">
      <c r="A81" s="186" t="s">
        <v>475</v>
      </c>
      <c r="B81" s="104">
        <v>1268210098</v>
      </c>
      <c r="C81" s="104">
        <v>0</v>
      </c>
      <c r="D81" s="104">
        <f>B81+C81</f>
        <v>1268210098</v>
      </c>
      <c r="E81" s="104">
        <v>348972399.36</v>
      </c>
      <c r="F81" s="104">
        <v>348972399.36</v>
      </c>
      <c r="G81" s="104">
        <f t="shared" si="7"/>
        <v>919237698.64</v>
      </c>
    </row>
    <row r="82" spans="1:7" ht="12.75">
      <c r="A82" s="184" t="s">
        <v>476</v>
      </c>
      <c r="B82" s="104">
        <v>0</v>
      </c>
      <c r="C82" s="104">
        <v>0</v>
      </c>
      <c r="D82" s="104">
        <f>B82+C82</f>
        <v>0</v>
      </c>
      <c r="E82" s="104">
        <v>0</v>
      </c>
      <c r="F82" s="104">
        <v>0</v>
      </c>
      <c r="G82" s="104">
        <f t="shared" si="7"/>
        <v>0</v>
      </c>
    </row>
    <row r="83" spans="1:7" ht="12.75">
      <c r="A83" s="184" t="s">
        <v>477</v>
      </c>
      <c r="B83" s="104">
        <v>0</v>
      </c>
      <c r="C83" s="104">
        <v>0</v>
      </c>
      <c r="D83" s="104">
        <f>B83+C83</f>
        <v>0</v>
      </c>
      <c r="E83" s="104">
        <v>0</v>
      </c>
      <c r="F83" s="104">
        <v>0</v>
      </c>
      <c r="G83" s="104">
        <f t="shared" si="7"/>
        <v>0</v>
      </c>
    </row>
    <row r="84" spans="1:7" ht="12.75">
      <c r="A84" s="185"/>
      <c r="B84" s="104"/>
      <c r="C84" s="104"/>
      <c r="D84" s="104"/>
      <c r="E84" s="104"/>
      <c r="F84" s="104"/>
      <c r="G84" s="104"/>
    </row>
    <row r="85" spans="1:7" ht="12.75">
      <c r="A85" s="183" t="s">
        <v>404</v>
      </c>
      <c r="B85" s="114">
        <f aca="true" t="shared" si="11" ref="B85:G85">B11+B48</f>
        <v>19645122596</v>
      </c>
      <c r="C85" s="114">
        <f t="shared" si="11"/>
        <v>296277681.37999994</v>
      </c>
      <c r="D85" s="114">
        <f t="shared" si="11"/>
        <v>19941400277.379997</v>
      </c>
      <c r="E85" s="114">
        <f t="shared" si="11"/>
        <v>4892302464.140001</v>
      </c>
      <c r="F85" s="114">
        <f t="shared" si="11"/>
        <v>4845720140.530001</v>
      </c>
      <c r="G85" s="114">
        <f t="shared" si="11"/>
        <v>15049097813.24</v>
      </c>
    </row>
    <row r="86" spans="1:7" ht="13.5" thickBot="1">
      <c r="A86" s="189"/>
      <c r="B86" s="190"/>
      <c r="C86" s="190"/>
      <c r="D86" s="190"/>
      <c r="E86" s="190"/>
      <c r="F86" s="190"/>
      <c r="G86" s="190"/>
    </row>
    <row r="88" spans="2:7" ht="12.75">
      <c r="B88" s="82"/>
      <c r="C88" s="82"/>
      <c r="D88" s="82"/>
      <c r="E88" s="82"/>
      <c r="F88" s="82"/>
      <c r="G88" s="8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00" t="s">
        <v>120</v>
      </c>
      <c r="C2" s="201"/>
      <c r="D2" s="201"/>
      <c r="E2" s="201"/>
      <c r="F2" s="201"/>
      <c r="G2" s="201"/>
      <c r="H2" s="241"/>
    </row>
    <row r="3" spans="2:8" ht="12.75">
      <c r="B3" s="225" t="s">
        <v>323</v>
      </c>
      <c r="C3" s="226"/>
      <c r="D3" s="226"/>
      <c r="E3" s="226"/>
      <c r="F3" s="226"/>
      <c r="G3" s="226"/>
      <c r="H3" s="242"/>
    </row>
    <row r="4" spans="2:8" ht="12.75">
      <c r="B4" s="225" t="s">
        <v>479</v>
      </c>
      <c r="C4" s="226"/>
      <c r="D4" s="226"/>
      <c r="E4" s="226"/>
      <c r="F4" s="226"/>
      <c r="G4" s="226"/>
      <c r="H4" s="242"/>
    </row>
    <row r="5" spans="2:8" ht="12.75">
      <c r="B5" s="225" t="s">
        <v>125</v>
      </c>
      <c r="C5" s="226"/>
      <c r="D5" s="226"/>
      <c r="E5" s="226"/>
      <c r="F5" s="226"/>
      <c r="G5" s="226"/>
      <c r="H5" s="242"/>
    </row>
    <row r="6" spans="2:8" ht="13.5" thickBot="1">
      <c r="B6" s="228" t="s">
        <v>1</v>
      </c>
      <c r="C6" s="229"/>
      <c r="D6" s="229"/>
      <c r="E6" s="229"/>
      <c r="F6" s="229"/>
      <c r="G6" s="229"/>
      <c r="H6" s="243"/>
    </row>
    <row r="7" spans="2:8" ht="13.5" thickBot="1">
      <c r="B7" s="235" t="s">
        <v>2</v>
      </c>
      <c r="C7" s="249" t="s">
        <v>325</v>
      </c>
      <c r="D7" s="250"/>
      <c r="E7" s="250"/>
      <c r="F7" s="250"/>
      <c r="G7" s="251"/>
      <c r="H7" s="233" t="s">
        <v>326</v>
      </c>
    </row>
    <row r="8" spans="2:8" ht="26.25" thickBot="1">
      <c r="B8" s="236"/>
      <c r="C8" s="33" t="s">
        <v>216</v>
      </c>
      <c r="D8" s="33" t="s">
        <v>327</v>
      </c>
      <c r="E8" s="33" t="s">
        <v>328</v>
      </c>
      <c r="F8" s="33" t="s">
        <v>480</v>
      </c>
      <c r="G8" s="33" t="s">
        <v>233</v>
      </c>
      <c r="H8" s="234"/>
    </row>
    <row r="9" spans="2:8" ht="12.75">
      <c r="B9" s="191" t="s">
        <v>481</v>
      </c>
      <c r="C9" s="177">
        <f>C10+C11+C12+C15+C16+C19</f>
        <v>3025486003.1099997</v>
      </c>
      <c r="D9" s="177">
        <f>D10+D11+D12+D15+D16+D19</f>
        <v>-34203545.67</v>
      </c>
      <c r="E9" s="177">
        <f>E10+E11+E12+E15+E16+E19</f>
        <v>2991282457.44</v>
      </c>
      <c r="F9" s="177">
        <f>F10+F11+F12+F15+F16+F19</f>
        <v>544765257.31</v>
      </c>
      <c r="G9" s="177">
        <f>G10+G11+G12+G15+G16+G19</f>
        <v>543120188.89</v>
      </c>
      <c r="H9" s="173">
        <f>E9-F9</f>
        <v>2446517200.13</v>
      </c>
    </row>
    <row r="10" spans="2:8" ht="20.25" customHeight="1">
      <c r="B10" s="154" t="s">
        <v>482</v>
      </c>
      <c r="C10" s="25">
        <v>1422773668.96</v>
      </c>
      <c r="D10" s="25">
        <v>-16614564.06</v>
      </c>
      <c r="E10" s="17">
        <f>C10+D10</f>
        <v>1406159104.9</v>
      </c>
      <c r="F10" s="17">
        <v>255873733.64</v>
      </c>
      <c r="G10" s="17">
        <v>254792331.34</v>
      </c>
      <c r="H10" s="17">
        <f aca="true" t="shared" si="0" ref="H10:H31">E10-F10</f>
        <v>1150285371.2600002</v>
      </c>
    </row>
    <row r="11" spans="2:8" ht="12.75">
      <c r="B11" s="154" t="s">
        <v>483</v>
      </c>
      <c r="C11" s="25">
        <v>705840287.64</v>
      </c>
      <c r="D11" s="25">
        <v>-9955249.31</v>
      </c>
      <c r="E11" s="17">
        <f>C11+D11</f>
        <v>695885038.33</v>
      </c>
      <c r="F11" s="17">
        <v>115619468.79</v>
      </c>
      <c r="G11" s="17">
        <v>115611573.27</v>
      </c>
      <c r="H11" s="17">
        <f t="shared" si="0"/>
        <v>580265569.5400001</v>
      </c>
    </row>
    <row r="12" spans="2:8" ht="12.75">
      <c r="B12" s="154" t="s">
        <v>484</v>
      </c>
      <c r="C12" s="25">
        <f>SUM(C13:C14)</f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485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486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154" t="s">
        <v>487</v>
      </c>
      <c r="C15" s="25">
        <v>896872046.51</v>
      </c>
      <c r="D15" s="25">
        <v>-7633732.3</v>
      </c>
      <c r="E15" s="17">
        <f>C15+D15</f>
        <v>889238314.21</v>
      </c>
      <c r="F15" s="17">
        <v>173272054.88</v>
      </c>
      <c r="G15" s="17">
        <v>172716284.28</v>
      </c>
      <c r="H15" s="17">
        <f>E15-F15</f>
        <v>715966259.33</v>
      </c>
    </row>
    <row r="16" spans="2:8" ht="25.5">
      <c r="B16" s="154" t="s">
        <v>488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489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490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154" t="s">
        <v>491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196" customFormat="1" ht="12.75">
      <c r="B20" s="192"/>
      <c r="C20" s="193"/>
      <c r="D20" s="194"/>
      <c r="E20" s="194"/>
      <c r="F20" s="194"/>
      <c r="G20" s="194"/>
      <c r="H20" s="195"/>
    </row>
    <row r="21" spans="2:8" ht="12.75">
      <c r="B21" s="191" t="s">
        <v>492</v>
      </c>
      <c r="C21" s="177">
        <f>C22+C23+C24+C27+C28+C31</f>
        <v>0</v>
      </c>
      <c r="D21" s="177">
        <f>D22+D23+D24+D27+D28+D31</f>
        <v>89330342.47999999</v>
      </c>
      <c r="E21" s="177">
        <f>E22+E23+E24+E27+E28+E31</f>
        <v>89330342.47999999</v>
      </c>
      <c r="F21" s="177">
        <f>F22+F23+F24+F27+F28+F31</f>
        <v>89304122.47999999</v>
      </c>
      <c r="G21" s="177">
        <f>G22+G23+G24+G27+G28+G31</f>
        <v>89043243.16</v>
      </c>
      <c r="H21" s="173">
        <f t="shared" si="0"/>
        <v>26220</v>
      </c>
    </row>
    <row r="22" spans="2:8" ht="18.75" customHeight="1">
      <c r="B22" s="154" t="s">
        <v>482</v>
      </c>
      <c r="C22" s="25">
        <v>0</v>
      </c>
      <c r="D22" s="17">
        <v>339539.32</v>
      </c>
      <c r="E22" s="17">
        <f>C22+D22</f>
        <v>339539.32</v>
      </c>
      <c r="F22" s="17">
        <v>313319.32</v>
      </c>
      <c r="G22" s="17">
        <v>52440</v>
      </c>
      <c r="H22" s="17">
        <f t="shared" si="0"/>
        <v>26220</v>
      </c>
    </row>
    <row r="23" spans="2:8" ht="12.75">
      <c r="B23" s="154" t="s">
        <v>483</v>
      </c>
      <c r="C23" s="25">
        <v>0</v>
      </c>
      <c r="D23" s="17">
        <v>88990803.16</v>
      </c>
      <c r="E23" s="17">
        <f>C23+D23</f>
        <v>88990803.16</v>
      </c>
      <c r="F23" s="17">
        <v>88990803.16</v>
      </c>
      <c r="G23" s="17">
        <v>88990803.16</v>
      </c>
      <c r="H23" s="17">
        <f t="shared" si="0"/>
        <v>0</v>
      </c>
    </row>
    <row r="24" spans="2:8" ht="12.75">
      <c r="B24" s="154" t="s">
        <v>484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25">
        <f>SUM(G25:G26)</f>
        <v>0</v>
      </c>
      <c r="H24" s="17">
        <f t="shared" si="0"/>
        <v>0</v>
      </c>
    </row>
    <row r="25" spans="2:8" ht="12.75">
      <c r="B25" s="18" t="s">
        <v>485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486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154" t="s">
        <v>487</v>
      </c>
      <c r="C27" s="25">
        <v>0</v>
      </c>
      <c r="D27" s="17">
        <v>0</v>
      </c>
      <c r="E27" s="17">
        <f>C27+D27</f>
        <v>0</v>
      </c>
      <c r="F27" s="17">
        <v>0</v>
      </c>
      <c r="G27" s="17">
        <v>0</v>
      </c>
      <c r="H27" s="17">
        <f t="shared" si="0"/>
        <v>0</v>
      </c>
    </row>
    <row r="28" spans="2:8" ht="25.5">
      <c r="B28" s="154" t="s">
        <v>488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489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490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154" t="s">
        <v>491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12.75">
      <c r="B32" s="191" t="s">
        <v>493</v>
      </c>
      <c r="C32" s="177">
        <f aca="true" t="shared" si="1" ref="C32:H32">C9+C21</f>
        <v>3025486003.1099997</v>
      </c>
      <c r="D32" s="177">
        <f t="shared" si="1"/>
        <v>55126796.80999999</v>
      </c>
      <c r="E32" s="177">
        <f t="shared" si="1"/>
        <v>3080612799.92</v>
      </c>
      <c r="F32" s="177">
        <f t="shared" si="1"/>
        <v>634069379.79</v>
      </c>
      <c r="G32" s="177">
        <f t="shared" si="1"/>
        <v>632163432.05</v>
      </c>
      <c r="H32" s="177">
        <f t="shared" si="1"/>
        <v>2446543420.13</v>
      </c>
    </row>
    <row r="33" spans="2:8" ht="13.5" thickBot="1">
      <c r="B33" s="197"/>
      <c r="C33" s="198"/>
      <c r="D33" s="199"/>
      <c r="E33" s="199"/>
      <c r="F33" s="199"/>
      <c r="G33" s="199"/>
      <c r="H33" s="19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  <ignoredErrors>
    <ignoredError sqref="C12:D12 C24:D24 F12:G12 F24:G24" formulaRange="1"/>
    <ignoredError sqref="E16 E28" formula="1"/>
    <ignoredError sqref="E12 E2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2017-06-20T17:54:22Z</cp:lastPrinted>
  <dcterms:created xsi:type="dcterms:W3CDTF">2016-10-11T18:36:49Z</dcterms:created>
  <dcterms:modified xsi:type="dcterms:W3CDTF">2018-02-23T18:59:12Z</dcterms:modified>
  <cp:category/>
  <cp:version/>
  <cp:contentType/>
  <cp:contentStatus/>
</cp:coreProperties>
</file>